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codeName="ThisWorkbook" autoCompressPictures="0"/>
  <mc:AlternateContent xmlns:mc="http://schemas.openxmlformats.org/markup-compatibility/2006">
    <mc:Choice Requires="x15">
      <x15ac:absPath xmlns:x15ac="http://schemas.microsoft.com/office/spreadsheetml/2010/11/ac" url="D:\Allied Metal\Conflict Minerals\"/>
    </mc:Choice>
  </mc:AlternateContent>
  <xr:revisionPtr revIDLastSave="0" documentId="13_ncr:1_{06ACD6E2-FDFB-4246-B5DF-BABD76C39F21}"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08" yWindow="-108" windowWidth="3093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C18" i="5" l="1"/>
  <c r="C5" i="5" l="1"/>
  <c r="C6" i="5"/>
  <c r="C7" i="5"/>
  <c r="B5" i="5"/>
  <c r="B6" i="5"/>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B32" i="6" l="1"/>
  <c r="C12" i="6"/>
  <c r="C11" i="6"/>
  <c r="C10" i="6"/>
  <c r="C9" i="6"/>
  <c r="C8" i="6"/>
  <c r="C7"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H22" i="6" s="1"/>
  <c r="K68" i="6" s="1"/>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H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46" i="6" l="1"/>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<sst xmlns="http://schemas.openxmlformats.org/spreadsheetml/2006/main" count="21790" uniqueCount="15512">
  <si>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</si>
  <si>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</si>
  <si>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</si>
  <si>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</si>
  <si>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</si>
  <si>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</si>
  <si>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</si>
  <si>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</si>
  <si>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</si>
  <si>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</si>
  <si>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</si>
  <si>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</si>
  <si>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</si>
  <si>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</si>
  <si>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</si>
  <si>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</si>
  <si>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</si>
  <si>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</si>
  <si>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</si>
  <si>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</si>
  <si>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</si>
  <si>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</si>
  <si>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</si>
  <si>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</si>
  <si>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</si>
  <si>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</si>
  <si>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</si>
  <si>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</si>
  <si>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</si>
  <si>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</si>
  <si>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</si>
  <si>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</si>
  <si>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</si>
  <si>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</si>
  <si>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</si>
  <si>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</si>
  <si>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</si>
  <si>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</si>
  <si>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</si>
  <si>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</si>
  <si>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</si>
  <si>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</si>
  <si>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</si>
  <si>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</si>
  <si>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</si>
  <si>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</si>
  <si>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</si>
  <si>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</si>
  <si>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</si>
  <si>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</si>
  <si>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</si>
  <si>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</si>
  <si>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</si>
  <si>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</si>
  <si>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</si>
  <si>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</si>
  <si>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</si>
  <si>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</si>
  <si>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</si>
  <si>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</si>
  <si>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</si>
  <si>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</si>
  <si>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</si>
  <si>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</si>
  <si>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</si>
  <si>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</si>
  <si>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</si>
  <si>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</si>
  <si>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</si>
  <si>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</si>
  <si>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</si>
  <si>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</si>
  <si>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</si>
  <si>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</si>
  <si>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</si>
  <si>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</si>
  <si>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</si>
  <si>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</si>
  <si>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</si>
  <si>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</si>
  <si>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</si>
  <si>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</si>
  <si>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</si>
  <si>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</si>
  <si>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</si>
  <si>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</si>
  <si>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</si>
  <si>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</si>
  <si>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</si>
  <si>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</si>
  <si>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</si>
  <si>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</si>
  <si>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</si>
  <si>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</si>
  <si>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</si>
  <si>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</si>
  <si>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</si>
  <si>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</si>
  <si>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</si>
  <si>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</si>
  <si>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</si>
  <si>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</si>
  <si>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</si>
  <si>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</si>
  <si>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</si>
  <si>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</si>
  <si>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</si>
  <si>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</si>
  <si>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</si>
  <si>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</si>
  <si>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</si>
  <si>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</si>
  <si>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</si>
  <si>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</si>
  <si>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</si>
  <si>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</si>
  <si>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</si>
  <si>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</si>
  <si>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</si>
  <si>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</si>
  <si>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</si>
  <si>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</si>
  <si>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</si>
  <si>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</si>
  <si>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</si>
  <si>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</si>
  <si>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</si>
  <si>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</si>
  <si>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</si>
  <si>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</si>
  <si>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</si>
  <si>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</si>
  <si>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</si>
  <si>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</si>
  <si>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</si>
  <si>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</si>
  <si>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</si>
  <si>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</si>
  <si>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</si>
  <si>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</si>
  <si>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</si>
  <si>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</si>
  <si>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</si>
  <si>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</si>
  <si>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</si>
  <si>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</si>
  <si>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</si>
  <si>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</si>
  <si>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</si>
  <si>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</si>
  <si>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</si>
  <si>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</si>
  <si>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</si>
  <si>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</si>
  <si>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</si>
  <si>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</si>
  <si>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</si>
  <si>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</si>
  <si>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</si>
  <si>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</si>
  <si>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</si>
  <si>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</si>
  <si>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</si>
  <si>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</si>
  <si>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</si>
  <si>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</si>
  <si>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</si>
  <si>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</si>
  <si>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</si>
  <si>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</si>
  <si>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</si>
  <si>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</si>
  <si>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</si>
  <si>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</si>
  <si>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</si>
  <si>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</si>
  <si>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</si>
  <si>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</si>
  <si>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</si>
  <si>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</si>
  <si>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</si>
  <si>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</si>
  <si>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</si>
  <si>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</si>
  <si>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</si>
  <si>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</si>
  <si>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</si>
  <si>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</si>
  <si>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</si>
  <si>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</si>
  <si>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</si>
  <si>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</si>
  <si>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</si>
  <si>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</si>
  <si>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</si>
  <si>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</si>
  <si>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</si>
  <si>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</si>
  <si>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</si>
  <si>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</si>
  <si>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</si>
  <si>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</si>
  <si>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</si>
  <si>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</si>
  <si>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</si>
  <si>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</si>
  <si>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</si>
  <si>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</si>
  <si>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</si>
  <si>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</si>
  <si>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</si>
  <si>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</si>
  <si>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</si>
  <si>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</si>
  <si>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</si>
  <si>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</si>
  <si>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</si>
  <si>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</si>
  <si>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</si>
  <si>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</si>
  <si>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</si>
  <si>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</si>
  <si>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</si>
  <si>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</si>
  <si>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</si>
  <si>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</si>
  <si>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</si>
  <si>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</si>
  <si>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</si>
  <si>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</si>
  <si>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</si>
  <si>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</si>
  <si>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</si>
  <si>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</si>
  <si>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</si>
  <si>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</si>
  <si>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</si>
  <si>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</si>
  <si>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</si>
  <si>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</si>
  <si>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</si>
  <si>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</si>
  <si>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</si>
  <si>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</si>
  <si>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</si>
  <si>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</si>
  <si>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</si>
  <si>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</si>
  <si>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</si>
  <si>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</si>
  <si>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</si>
  <si>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</si>
  <si>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</si>
  <si>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</si>
  <si>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</si>
  <si>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</si>
  <si>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</si>
  <si>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</si>
  <si>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</si>
  <si>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</si>
  <si>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</si>
  <si>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</si>
  <si>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</si>
  <si>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</si>
  <si>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</si>
  <si>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</si>
  <si>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</si>
  <si>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</si>
  <si>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</si>
  <si>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</si>
  <si>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</si>
  <si>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</si>
  <si>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</si>
  <si>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</si>
  <si>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</si>
  <si>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</si>
  <si>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</si>
  <si>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</si>
  <si>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</si>
  <si>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</si>
  <si>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</si>
  <si>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</si>
  <si>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</si>
  <si>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</si>
  <si>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</si>
  <si>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</si>
  <si>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</si>
  <si>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</si>
  <si>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</si>
  <si>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</si>
  <si>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</si>
  <si>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</si>
  <si>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</si>
  <si>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</si>
  <si>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</si>
  <si>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</si>
  <si>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</si>
  <si>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</si>
  <si>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</si>
  <si>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</si>
  <si>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</si>
  <si>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</si>
  <si>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</si>
  <si>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</si>
  <si>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</si>
  <si>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</si>
  <si>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</si>
  <si>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</si>
  <si>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</si>
  <si>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</si>
  <si>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</si>
  <si>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</si>
  <si>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</si>
  <si>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</si>
  <si>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</si>
  <si>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</si>
  <si>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</si>
  <si>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</si>
  <si>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</si>
  <si>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</si>
  <si>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</si>
  <si>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</si>
  <si>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</si>
  <si>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</si>
  <si>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</si>
  <si>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</si>
  <si>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</si>
  <si>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</si>
  <si>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</si>
  <si>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</si>
  <si>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</si>
  <si>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</si>
  <si>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</si>
  <si>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</si>
  <si>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</si>
  <si>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</si>
  <si>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</si>
  <si>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</si>
  <si>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</si>
  <si>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</si>
  <si>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</si>
  <si>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</si>
  <si>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</si>
  <si>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</si>
  <si>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</si>
  <si>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</si>
  <si>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</si>
  <si>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</si>
  <si>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</si>
  <si>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</si>
  <si>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</si>
  <si>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</si>
  <si>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</si>
  <si>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</si>
  <si>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</si>
  <si>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</si>
  <si>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</si>
  <si>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</si>
  <si>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</si>
  <si>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</si>
  <si>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</si>
  <si>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</si>
  <si>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</si>
  <si>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</si>
  <si>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</si>
  <si>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</si>
  <si>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</si>
  <si>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</si>
  <si>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</si>
  <si>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</si>
  <si>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</si>
  <si>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</si>
  <si>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</si>
  <si>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</si>
  <si>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</si>
  <si>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</si>
  <si>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</si>
  <si>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</si>
  <si>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</si>
  <si>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</si>
  <si>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</si>
  <si>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</si>
  <si>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</si>
  <si>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</si>
  <si>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</si>
  <si>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</si>
  <si>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</si>
  <si>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</si>
  <si>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</si>
  <si>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</si>
  <si>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</si>
  <si>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</si>
  <si>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</si>
  <si>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</si>
  <si>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</si>
  <si>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</si>
  <si>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</si>
  <si>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</si>
  <si>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</si>
  <si>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</si>
  <si>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</si>
  <si>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</si>
  <si>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</si>
  <si>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</si>
  <si>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</si>
  <si>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</si>
  <si>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</si>
  <si>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</si>
  <si>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</si>
  <si>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</si>
  <si>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</si>
  <si>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</si>
  <si>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</si>
  <si>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</si>
  <si>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</si>
  <si>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</si>
  <si>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</si>
  <si>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</si>
  <si>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</si>
  <si>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</si>
  <si>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</si>
  <si>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</si>
  <si>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</si>
  <si>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</si>
  <si>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</si>
  <si>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</si>
  <si>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</si>
  <si>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</si>
  <si>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</si>
  <si>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</si>
  <si>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</si>
  <si>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</si>
  <si>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</si>
  <si>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</si>
  <si>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</si>
  <si>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</si>
  <si>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</si>
  <si>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</si>
  <si>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</si>
  <si>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</si>
  <si>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</si>
  <si>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</si>
  <si>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</si>
  <si>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</si>
  <si>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</si>
  <si>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</si>
  <si>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</si>
  <si>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</si>
  <si>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</si>
  <si>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</si>
  <si>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</si>
  <si>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</si>
  <si>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</si>
  <si>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</si>
  <si>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</si>
  <si>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</si>
  <si>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</si>
  <si>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</si>
  <si>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</si>
  <si>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</si>
  <si>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</si>
  <si>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</si>
  <si>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</si>
  <si>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</si>
  <si>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</si>
  <si>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</si>
  <si>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</si>
  <si>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</si>
  <si>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</si>
  <si>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</si>
  <si>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</si>
  <si>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</si>
  <si>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</si>
  <si>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</si>
  <si>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</si>
  <si>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</si>
  <si>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</si>
  <si>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</si>
  <si>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</si>
  <si>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</si>
  <si>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</si>
  <si>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</si>
  <si>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</si>
  <si>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</si>
  <si>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</si>
  <si>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</si>
  <si>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</si>
  <si>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</si>
  <si>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</si>
  <si>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</si>
  <si>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</si>
  <si>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</si>
  <si>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</si>
  <si>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</si>
  <si>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</si>
  <si>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</si>
  <si>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</si>
  <si>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</si>
  <si>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</si>
  <si>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</si>
  <si>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</si>
  <si>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</si>
  <si>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</si>
  <si>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</si>
  <si>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</si>
  <si>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</si>
  <si>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</si>
  <si>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</si>
  <si>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</si>
  <si>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</si>
  <si>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</si>
  <si>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</si>
  <si>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</si>
  <si>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</si>
  <si>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</si>
  <si>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</si>
  <si>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</si>
  <si>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</si>
  <si>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</si>
  <si>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</si>
  <si>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</si>
  <si>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</si>
  <si>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</si>
  <si>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</si>
  <si>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</si>
  <si>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</si>
  <si>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</si>
  <si>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</si>
  <si>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</si>
  <si>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</si>
  <si>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</si>
  <si>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</si>
  <si>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</si>
  <si>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</si>
  <si>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</si>
  <si>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</si>
  <si>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</si>
  <si>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</si>
  <si>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</si>
  <si>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</si>
  <si>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</si>
  <si>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</si>
  <si>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</si>
  <si>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</si>
  <si>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</si>
  <si>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</si>
  <si>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</si>
  <si>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</si>
  <si>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</si>
  <si>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</si>
  <si>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</si>
  <si>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</si>
  <si>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</si>
  <si>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</si>
  <si>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</si>
  <si>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</si>
  <si>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</si>
  <si>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</si>
  <si>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</si>
  <si>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</si>
  <si>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</si>
  <si>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</si>
  <si>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</si>
  <si>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</si>
  <si>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</si>
  <si>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</si>
  <si>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</si>
  <si>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</si>
  <si>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</si>
  <si>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</si>
  <si>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</si>
  <si>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</si>
  <si>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</si>
  <si>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</si>
  <si>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</si>
  <si>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</si>
  <si>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</si>
  <si>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</si>
  <si>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</si>
  <si>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</si>
  <si>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</si>
  <si>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</si>
  <si>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</si>
  <si>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</si>
  <si>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</si>
  <si>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</si>
  <si>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</si>
  <si>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</si>
  <si>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</si>
  <si>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</si>
  <si>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</si>
  <si>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</si>
  <si>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</si>
  <si>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</si>
  <si>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</si>
  <si>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</si>
  <si>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</si>
  <si>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</si>
  <si>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</si>
  <si>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</si>
  <si>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</si>
  <si>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</si>
  <si>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</si>
  <si>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</si>
  <si>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</si>
  <si>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</si>
  <si>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</si>
  <si>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</si>
  <si>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</si>
  <si>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</si>
  <si>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</si>
  <si>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</si>
  <si>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</si>
  <si>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</si>
  <si>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</si>
  <si>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</si>
  <si>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</si>
  <si>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</si>
  <si>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</si>
  <si>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</si>
  <si>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</si>
  <si>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</si>
  <si>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</si>
  <si>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</si>
  <si>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</si>
  <si>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</si>
  <si>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</si>
  <si>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</si>
  <si>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</si>
  <si>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</si>
  <si>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</si>
  <si>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</si>
  <si>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</si>
  <si>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</si>
  <si>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</si>
  <si>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</si>
  <si>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</si>
  <si>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</si>
  <si>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</si>
  <si>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</si>
  <si>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</si>
  <si>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</si>
  <si>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</si>
  <si>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</si>
  <si>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</si>
  <si>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</si>
  <si>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</si>
  <si>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</si>
  <si>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</si>
  <si>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</si>
  <si>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</si>
  <si>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</si>
  <si>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</si>
  <si>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</si>
  <si>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</si>
  <si>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</si>
  <si>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</si>
  <si>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</si>
  <si>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</si>
  <si>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</si>
  <si>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</si>
  <si>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</si>
  <si>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</si>
  <si>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</si>
  <si>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</si>
  <si>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</si>
  <si>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</si>
  <si>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</si>
  <si>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</si>
  <si>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</si>
  <si>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</si>
  <si>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</si>
  <si>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</si>
  <si>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</si>
  <si>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</si>
  <si>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</si>
  <si>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</si>
  <si>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</si>
  <si>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</si>
  <si>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</si>
  <si>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</si>
  <si>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</si>
  <si>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</si>
  <si>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</si>
  <si>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</si>
  <si>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</si>
  <si>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</si>
  <si>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</si>
  <si>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</si>
  <si>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</si>
  <si>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</si>
  <si>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</si>
  <si>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</si>
  <si>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</si>
  <si>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</si>
  <si>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</si>
  <si>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</si>
  <si>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</si>
  <si>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</si>
  <si>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</si>
  <si>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</si>
  <si>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</si>
  <si>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</si>
  <si>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</si>
  <si>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</si>
  <si>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</si>
  <si>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</si>
  <si>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</si>
  <si>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</si>
  <si>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</si>
  <si>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</si>
  <si>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</si>
  <si>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</si>
  <si>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</si>
  <si>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</si>
  <si>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</si>
  <si>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</si>
  <si>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</si>
  <si>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</si>
  <si>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</si>
  <si>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</si>
  <si>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</si>
  <si>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</si>
  <si>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</si>
  <si>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</si>
  <si>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</si>
  <si>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</si>
  <si>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</si>
  <si>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</si>
  <si>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</si>
  <si>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</si>
  <si>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</si>
  <si>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</si>
  <si>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</si>
  <si>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</si>
  <si>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</si>
  <si>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</si>
  <si>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</si>
  <si>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</si>
  <si>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</si>
  <si>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</si>
  <si>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</si>
  <si>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</si>
  <si>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</si>
  <si>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</si>
  <si>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</si>
  <si>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</si>
  <si>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</si>
  <si>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</si>
  <si>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</si>
  <si>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</si>
  <si>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</si>
  <si>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</si>
  <si>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</si>
  <si>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</si>
  <si>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</si>
  <si>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</si>
  <si>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</si>
  <si>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</si>
  <si>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</si>
  <si>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</si>
  <si>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</si>
  <si>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</si>
  <si>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</si>
  <si>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</si>
  <si>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</si>
  <si>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</si>
  <si>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</si>
  <si>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</si>
  <si>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</si>
  <si>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</si>
  <si>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</si>
  <si>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</si>
  <si>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</si>
  <si>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</si>
  <si>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</si>
  <si>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</si>
  <si>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</si>
  <si>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</si>
  <si>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</si>
  <si>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</si>
  <si>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</si>
  <si>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</si>
  <si>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</si>
  <si>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</si>
  <si>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</si>
  <si>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</si>
  <si>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</si>
  <si>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</si>
  <si>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</si>
  <si>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</si>
  <si>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</si>
  <si>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</si>
  <si>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</si>
  <si>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</si>
  <si>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</si>
  <si>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</si>
  <si>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</si>
  <si>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</si>
  <si>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</si>
  <si>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</si>
  <si>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</si>
  <si>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</si>
  <si>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</si>
  <si>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</si>
  <si>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</si>
  <si>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</si>
  <si>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</si>
  <si>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</si>
  <si>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</si>
  <si>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</si>
  <si>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</si>
  <si>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</si>
  <si>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</si>
  <si>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</si>
  <si>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</si>
  <si>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</si>
  <si>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</si>
  <si>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</si>
  <si>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</si>
  <si>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</si>
  <si>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</si>
  <si>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</si>
  <si>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</si>
  <si>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</si>
  <si>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</si>
  <si>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</si>
  <si>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</si>
  <si>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</si>
  <si>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</si>
  <si>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</si>
  <si>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</si>
  <si>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</si>
  <si>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</si>
  <si>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</si>
  <si>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</si>
  <si>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</si>
  <si>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</si>
  <si>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</si>
  <si>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</si>
  <si>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</si>
  <si>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</si>
  <si>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</si>
  <si>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</si>
  <si>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</si>
  <si>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</si>
  <si>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</si>
  <si>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</si>
  <si>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</si>
  <si>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</si>
  <si>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</si>
  <si>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</si>
  <si>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</si>
  <si>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</si>
  <si>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</si>
  <si>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</si>
  <si>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</si>
  <si>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</si>
  <si>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</si>
  <si>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</si>
  <si>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</si>
  <si>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</si>
  <si>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</si>
  <si>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</si>
  <si>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</si>
  <si>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</si>
  <si>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</si>
  <si>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</si>
  <si>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</si>
  <si>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</si>
  <si>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</si>
  <si>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</si>
  <si>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</si>
  <si>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</si>
  <si>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</si>
  <si>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</si>
  <si>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</si>
  <si>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</si>
  <si>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</si>
  <si>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</si>
  <si>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</si>
  <si>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</si>
  <si>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</si>
  <si>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</si>
  <si>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</si>
  <si>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</si>
  <si>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</si>
  <si>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</si>
  <si>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</si>
  <si>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</si>
  <si>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</si>
  <si>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</si>
  <si>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</si>
  <si>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</si>
  <si>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</si>
  <si>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</si>
  <si>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</si>
  <si>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</si>
  <si>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</si>
  <si>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</si>
  <si>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</si>
  <si>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</si>
  <si>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</si>
  <si>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</si>
  <si>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</si>
  <si>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</si>
  <si>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</si>
  <si>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</si>
  <si>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</si>
  <si>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</si>
  <si>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</si>
  <si>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</si>
  <si>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</si>
  <si>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</si>
  <si>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</si>
  <si>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</si>
  <si>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</si>
  <si>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</si>
  <si>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</si>
  <si>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</si>
  <si>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</si>
  <si>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</si>
  <si>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</si>
  <si>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</si>
  <si>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</si>
  <si>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</si>
  <si>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</si>
  <si>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</si>
  <si>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</si>
  <si>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</si>
  <si>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</si>
  <si>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</si>
  <si>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</si>
  <si>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</si>
  <si>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</si>
  <si>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</si>
  <si>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</si>
  <si>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</si>
  <si>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</si>
  <si>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</si>
  <si>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</si>
  <si>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</si>
  <si>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</si>
  <si>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</si>
  <si>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</si>
  <si>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</si>
  <si>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</si>
  <si>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</si>
  <si>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</si>
  <si>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</si>
  <si>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</si>
  <si>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</si>
  <si>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</si>
  <si>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</si>
  <si>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</si>
  <si>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</si>
  <si>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</si>
  <si>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</si>
  <si>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</si>
  <si>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</si>
  <si>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</si>
  <si>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</si>
  <si>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</si>
  <si>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</si>
  <si>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</si>
  <si>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</si>
  <si>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</si>
  <si>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</si>
  <si>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</si>
  <si>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</si>
  <si>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</si>
  <si>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</si>
  <si>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</si>
  <si>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</si>
  <si>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</si>
  <si>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</si>
  <si>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</si>
  <si>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</si>
  <si>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</si>
  <si>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</si>
  <si>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</si>
  <si>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</si>
  <si>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</si>
  <si>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</si>
  <si>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</si>
  <si>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</si>
  <si>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</si>
  <si>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</si>
  <si>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</si>
  <si>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</si>
  <si>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</si>
  <si>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</si>
  <si>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</si>
  <si>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</si>
  <si>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</si>
  <si>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</si>
  <si>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</si>
  <si>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</si>
  <si>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</si>
  <si>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</si>
  <si>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</si>
  <si>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</si>
  <si>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</si>
  <si>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</si>
  <si>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</si>
  <si>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</si>
  <si>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</si>
  <si>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</si>
  <si>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</si>
  <si>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</si>
  <si>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</si>
  <si>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</si>
  <si>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</si>
  <si>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</si>
  <si>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</si>
  <si>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</si>
  <si>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</si>
  <si>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</si>
  <si>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</si>
  <si>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</si>
  <si>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</si>
  <si>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</si>
  <si>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</si>
  <si>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</si>
  <si>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</si>
  <si>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</si>
  <si>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</si>
  <si>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</si>
  <si>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</si>
  <si>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</si>
  <si>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</si>
  <si>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</si>
  <si>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</si>
  <si>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</si>
  <si>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</si>
  <si>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</si>
  <si>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</si>
  <si>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</si>
  <si>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</si>
  <si>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</si>
  <si>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</si>
  <si>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</si>
  <si>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</si>
  <si>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</si>
  <si>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</si>
  <si>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</si>
  <si>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</si>
  <si>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</si>
  <si>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</si>
  <si>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</si>
  <si>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</si>
  <si>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</si>
  <si>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</si>
  <si>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</si>
  <si>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</si>
  <si>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</si>
  <si>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</si>
  <si>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</si>
  <si>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</si>
  <si>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</si>
  <si>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</si>
  <si>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</si>
  <si>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</si>
  <si>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</si>
  <si>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</si>
  <si>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</si>
  <si>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</si>
  <si>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</si>
  <si>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</si>
  <si>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</si>
  <si>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</si>
  <si>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</si>
  <si>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</si>
  <si>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</si>
  <si>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</si>
  <si>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</si>
  <si>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</si>
  <si>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</si>
  <si>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</si>
  <si>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</si>
  <si>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</si>
  <si>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</si>
  <si>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</si>
  <si>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</si>
  <si>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</si>
  <si>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</si>
  <si>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</si>
  <si>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</si>
  <si>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</si>
  <si>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</si>
  <si>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</si>
  <si>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</si>
  <si>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</si>
  <si>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</si>
  <si>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</si>
  <si>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</si>
  <si>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</si>
  <si>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</si>
  <si>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</si>
  <si>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</si>
  <si>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</si>
  <si>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</si>
  <si>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</si>
  <si>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</si>
  <si>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</si>
  <si>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</si>
  <si>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</si>
  <si>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</si>
  <si>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</si>
  <si>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</si>
  <si>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</si>
  <si>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</si>
  <si>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</si>
  <si>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</si>
  <si>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</si>
  <si>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</si>
  <si>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</si>
  <si>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</si>
  <si>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</si>
  <si>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</si>
  <si>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</si>
  <si>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</si>
  <si>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</si>
  <si>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</si>
  <si>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</si>
  <si>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</si>
  <si>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</si>
  <si>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</si>
  <si>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</si>
  <si>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</si>
  <si>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</si>
  <si>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</si>
  <si>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</si>
  <si>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</si>
  <si>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</si>
  <si>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</si>
  <si>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</si>
  <si>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</si>
  <si>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</si>
  <si>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</si>
  <si>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</si>
  <si>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</si>
  <si>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</si>
  <si>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</si>
  <si>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</si>
  <si>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</si>
  <si>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</si>
  <si>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</si>
  <si>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</si>
  <si>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</si>
  <si>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</si>
  <si>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</si>
  <si>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</si>
  <si>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</si>
  <si>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</si>
  <si>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</si>
  <si>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</si>
  <si>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</si>
  <si>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</si>
  <si>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</si>
  <si>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</si>
  <si>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</si>
  <si>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</si>
  <si>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</si>
  <si>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</si>
  <si>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</si>
  <si>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</si>
  <si>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</si>
  <si>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</si>
  <si>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</si>
  <si>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</si>
  <si>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</si>
  <si>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</si>
  <si>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</si>
  <si>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</si>
  <si>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</si>
  <si>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</si>
  <si>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</si>
  <si>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</si>
  <si>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</si>
  <si>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</si>
  <si>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</si>
  <si>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</si>
  <si>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</si>
  <si>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</si>
  <si>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</si>
  <si>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</si>
  <si>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</si>
  <si>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</si>
  <si>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</si>
  <si>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</si>
  <si>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</si>
  <si>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</si>
  <si>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</si>
  <si>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</si>
  <si>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</si>
  <si>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</si>
  <si>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</si>
  <si>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</si>
  <si>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</si>
  <si>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</si>
  <si>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</si>
  <si>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</si>
  <si>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</si>
  <si>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</si>
  <si>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</si>
  <si>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</si>
  <si>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</si>
  <si>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</si>
  <si>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</si>
  <si>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</si>
  <si>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</si>
  <si>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</si>
  <si>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</si>
  <si>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</si>
  <si>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</si>
  <si>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</si>
  <si>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</si>
  <si>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</si>
  <si>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</si>
  <si>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</si>
  <si>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</si>
  <si>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</si>
  <si>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</si>
  <si>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</si>
  <si>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</si>
  <si>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</si>
  <si>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</si>
  <si>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</si>
  <si>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</si>
  <si>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</si>
  <si>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</si>
  <si>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</si>
  <si>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</si>
  <si>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</si>
  <si>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</si>
  <si>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</si>
  <si>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</si>
  <si>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</si>
  <si>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</si>
  <si>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</si>
  <si>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</si>
  <si>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</si>
  <si>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</si>
  <si>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</si>
  <si>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</si>
  <si>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</si>
  <si>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</si>
  <si>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</si>
  <si>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</si>
  <si>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</si>
  <si>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</si>
  <si>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</si>
  <si>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</si>
  <si>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</si>
  <si>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</si>
  <si>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</si>
  <si>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</si>
  <si>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</si>
  <si>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</si>
  <si>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</si>
  <si>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</si>
  <si>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</si>
  <si>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</si>
  <si>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</si>
  <si>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</si>
  <si>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</si>
  <si>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</si>
  <si>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</si>
  <si>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</si>
  <si>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</si>
  <si>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</si>
  <si>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</si>
  <si>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</si>
  <si>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</si>
  <si>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</si>
  <si>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</si>
  <si>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</si>
  <si>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</si>
  <si>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</si>
  <si>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</si>
  <si>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</si>
  <si>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</si>
  <si>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</si>
  <si>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</si>
  <si>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</si>
  <si>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</si>
  <si>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</si>
  <si>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</si>
  <si>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</si>
  <si>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</si>
  <si>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</si>
  <si>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</si>
  <si>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</si>
  <si>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</si>
  <si>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</si>
  <si>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</si>
  <si>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</si>
  <si>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</si>
  <si>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</si>
  <si>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</si>
  <si>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</si>
  <si>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</si>
  <si>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</si>
  <si>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</si>
  <si>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</si>
  <si>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</si>
  <si>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</si>
  <si>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</si>
  <si>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</si>
  <si>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</si>
  <si>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</si>
  <si>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</si>
  <si>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</si>
  <si>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</si>
  <si>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</si>
  <si>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</si>
  <si>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</si>
  <si>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</si>
  <si>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</si>
  <si>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</si>
  <si>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</si>
  <si>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</si>
  <si>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</si>
  <si>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</si>
  <si>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</si>
  <si>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</si>
  <si>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</si>
  <si>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</si>
  <si>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</si>
  <si>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</si>
  <si>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</si>
  <si>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</si>
  <si>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</si>
  <si>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</si>
  <si>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</si>
  <si>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</si>
  <si>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</si>
  <si>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</si>
  <si>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</si>
  <si>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</si>
  <si>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</si>
  <si>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</si>
  <si>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</si>
  <si>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</si>
  <si>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</si>
  <si>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</si>
  <si>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</si>
  <si>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</si>
  <si>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</si>
  <si>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</si>
  <si>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</si>
  <si>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</si>
  <si>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</si>
  <si>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</si>
  <si>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</si>
  <si>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</si>
  <si>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</si>
  <si>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</si>
  <si>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</si>
  <si>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</si>
  <si>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</si>
  <si>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</si>
  <si>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</si>
  <si>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</si>
  <si>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</si>
  <si>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</si>
  <si>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</si>
  <si>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</si>
  <si>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</si>
  <si>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</si>
  <si>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</si>
  <si>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</si>
  <si>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</si>
  <si>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</si>
  <si>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</si>
  <si>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</si>
  <si>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</si>
  <si>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</si>
  <si>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</si>
  <si>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</si>
  <si>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</si>
  <si>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</si>
  <si>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</si>
  <si>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</si>
  <si>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</si>
  <si>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</si>
  <si>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</si>
  <si>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</si>
  <si>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</si>
  <si>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</si>
  <si>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</si>
  <si>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</si>
  <si>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</si>
  <si>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</si>
  <si>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</si>
  <si>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</si>
  <si>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</si>
  <si>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</si>
  <si>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</si>
  <si>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</si>
  <si>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</si>
  <si>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</si>
  <si>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</si>
  <si>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</si>
  <si>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</si>
  <si>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</si>
  <si>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</si>
  <si>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</si>
  <si>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</si>
  <si>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</si>
  <si>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</si>
  <si>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</si>
  <si>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</si>
  <si>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</si>
  <si>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</si>
  <si>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</si>
  <si>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</si>
  <si>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</si>
  <si>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</si>
  <si>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</si>
  <si>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</si>
  <si>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</si>
  <si>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</si>
  <si>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</si>
  <si>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</si>
  <si>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</si>
  <si>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</si>
  <si>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</si>
  <si>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</si>
  <si>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</si>
  <si>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</si>
  <si>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</si>
  <si>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</si>
  <si>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</si>
  <si>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</si>
  <si>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</si>
  <si>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</si>
  <si>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</si>
  <si>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</si>
  <si>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</si>
  <si>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</si>
  <si>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</si>
  <si>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</si>
  <si>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</si>
  <si>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</si>
  <si>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</si>
  <si>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</si>
  <si>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</si>
  <si>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</si>
  <si>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</si>
  <si>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</si>
  <si>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</si>
  <si>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</si>
  <si>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</si>
  <si>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</si>
  <si>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</si>
  <si>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</si>
  <si>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</si>
  <si>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</si>
  <si>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</si>
  <si>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</si>
  <si>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</si>
  <si>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</si>
  <si>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</si>
  <si>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</si>
  <si>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</si>
  <si>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</si>
  <si>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</si>
  <si>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</si>
  <si>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</si>
  <si>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</si>
  <si>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</si>
  <si>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</si>
  <si>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</si>
  <si>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</si>
  <si>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</si>
  <si>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</si>
  <si>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</si>
  <si>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</si>
  <si>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</si>
  <si>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</si>
  <si>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</si>
  <si>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</si>
  <si>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</si>
  <si>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</si>
  <si>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</si>
  <si>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</si>
  <si>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</si>
  <si>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</si>
  <si>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</si>
  <si>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</si>
  <si>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</si>
  <si>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</si>
  <si>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</si>
  <si>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</si>
  <si>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</si>
  <si>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</si>
  <si>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</si>
  <si>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</si>
  <si>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</si>
  <si>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</si>
  <si>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</si>
  <si>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</si>
  <si>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</si>
  <si>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</si>
  <si>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</si>
  <si>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</si>
  <si>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</si>
  <si>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</si>
  <si>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</si>
  <si>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</si>
  <si>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</si>
  <si>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</si>
  <si>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</si>
  <si>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</si>
  <si>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</si>
  <si>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</si>
  <si>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</si>
  <si>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</si>
  <si>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</si>
  <si>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</si>
  <si>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</si>
  <si>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</si>
  <si>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</si>
  <si>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</si>
  <si>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</si>
  <si>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</si>
  <si>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</si>
  <si>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</si>
  <si>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</si>
  <si>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</si>
  <si>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</si>
  <si>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</si>
  <si>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</si>
  <si>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</si>
  <si>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</si>
  <si>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</si>
  <si>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</si>
  <si>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</si>
  <si>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</si>
  <si>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</si>
  <si>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</si>
  <si>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</si>
  <si>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</si>
  <si>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</si>
  <si>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</si>
  <si>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</si>
  <si>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</si>
  <si>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</si>
  <si>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</si>
  <si>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</si>
  <si>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</si>
  <si>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</si>
  <si>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</si>
  <si>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</si>
  <si>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</si>
  <si>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</si>
  <si>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</si>
  <si>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</si>
  <si>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</si>
  <si>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</si>
  <si>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</si>
  <si>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</si>
  <si>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</si>
  <si>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</si>
  <si>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</si>
  <si>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</si>
  <si>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</si>
  <si>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</si>
  <si>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</si>
  <si>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</si>
  <si>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</si>
  <si>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</si>
  <si>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</si>
  <si>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</si>
  <si>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</si>
  <si>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</si>
  <si>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</si>
  <si>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</si>
  <si>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</si>
  <si>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</si>
  <si>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</si>
  <si>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</si>
  <si>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</si>
  <si>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</si>
  <si>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</si>
  <si>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</si>
  <si>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</si>
  <si>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</si>
  <si>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</si>
  <si>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</si>
  <si>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</si>
  <si>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</si>
  <si>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</si>
  <si>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</si>
  <si>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</si>
  <si>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</si>
  <si>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</si>
  <si>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</si>
  <si>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</si>
  <si>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</si>
  <si>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</si>
  <si>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</si>
  <si>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</si>
  <si>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</si>
  <si>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</si>
  <si>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</si>
  <si>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</si>
  <si>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</si>
  <si>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</si>
  <si>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</si>
  <si>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</si>
  <si>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</si>
  <si>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</si>
  <si>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</si>
  <si>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</si>
  <si>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</si>
  <si>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</si>
  <si>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</si>
  <si>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</si>
  <si>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</si>
  <si>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</si>
  <si>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</si>
  <si>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</si>
  <si>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</si>
  <si>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</si>
  <si>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</si>
  <si>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</si>
  <si>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</si>
  <si>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</si>
  <si>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</si>
  <si>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</si>
  <si>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</si>
  <si>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</si>
  <si>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</si>
  <si>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</si>
  <si>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</si>
  <si>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</si>
  <si>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</si>
  <si>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</si>
  <si>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</si>
  <si>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</si>
  <si>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</si>
  <si>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</si>
  <si>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</si>
  <si>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</si>
  <si>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</si>
  <si>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</si>
  <si>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</si>
  <si>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</si>
  <si>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</si>
  <si>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</si>
  <si>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</si>
  <si>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</si>
  <si>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</si>
  <si>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</si>
  <si>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</si>
  <si>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</si>
  <si>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</si>
  <si>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</si>
  <si>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</si>
  <si>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</si>
  <si>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</si>
  <si>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</si>
  <si>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</si>
  <si>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</si>
  <si>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</si>
  <si>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</si>
  <si>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</si>
  <si>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</si>
  <si>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</si>
  <si>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</si>
  <si>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</si>
  <si>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</si>
  <si>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</si>
  <si>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</si>
  <si>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</si>
  <si>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</si>
  <si>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</si>
  <si>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</si>
  <si>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</si>
  <si>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</si>
  <si>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</si>
  <si>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</si>
  <si>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</si>
  <si>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</si>
  <si>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</si>
  <si>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</si>
  <si>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</si>
  <si>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</si>
  <si>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</si>
  <si>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</si>
  <si>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</si>
  <si>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</si>
  <si>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</si>
  <si>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</si>
  <si>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</si>
  <si>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</si>
  <si>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</si>
  <si>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</si>
  <si>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</si>
  <si>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</si>
  <si>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</si>
  <si>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</si>
  <si>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</si>
  <si>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</si>
  <si>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</si>
  <si>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</si>
  <si>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</si>
  <si>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</si>
  <si>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</si>
  <si>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</si>
  <si>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</si>
  <si>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</si>
  <si>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</si>
  <si>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</si>
  <si>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</si>
  <si>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</si>
  <si>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</si>
  <si>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</si>
  <si>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</si>
  <si>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</si>
  <si>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</si>
  <si>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</si>
  <si>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</si>
  <si>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</si>
  <si>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</si>
  <si>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</si>
  <si>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</si>
  <si>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</si>
  <si>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</si>
  <si>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</si>
  <si>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</si>
  <si>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</si>
  <si>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</si>
  <si>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</si>
  <si>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</si>
  <si>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</si>
  <si>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</si>
  <si>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</si>
  <si>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</si>
  <si>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</si>
  <si>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</si>
  <si>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</si>
  <si>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</si>
  <si>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</si>
  <si>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</si>
  <si>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</si>
  <si>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</si>
  <si>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</si>
  <si>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</si>
  <si>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</si>
  <si>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</si>
  <si>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</si>
  <si>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</si>
  <si>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</si>
  <si>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</si>
  <si>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</si>
  <si>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</si>
  <si>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</si>
  <si>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</si>
  <si>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</si>
  <si>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</si>
  <si>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</si>
  <si>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</si>
  <si>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</si>
  <si>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</si>
  <si>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</si>
  <si>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</si>
  <si>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</si>
  <si>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</si>
  <si>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</si>
  <si>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</si>
  <si>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</si>
  <si>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</si>
  <si>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</si>
  <si>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</si>
  <si>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</si>
  <si>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</si>
  <si>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</si>
  <si>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</si>
  <si>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</si>
  <si>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</si>
  <si>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</si>
  <si>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</si>
  <si>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</si>
  <si>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</si>
  <si>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</si>
  <si>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</si>
  <si>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</si>
  <si>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</si>
  <si>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</si>
  <si>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</si>
  <si>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</si>
  <si>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</si>
  <si>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</si>
  <si>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</si>
  <si>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</si>
  <si>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</si>
  <si>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</si>
  <si>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</si>
  <si>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</si>
  <si>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</si>
  <si>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</si>
  <si>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</si>
  <si>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</si>
  <si>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</si>
  <si>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</si>
  <si>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</si>
  <si>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</si>
  <si>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</si>
  <si>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</si>
  <si>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</si>
  <si>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</si>
  <si>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</si>
  <si>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</si>
  <si>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</si>
  <si>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</si>
  <si>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</si>
  <si>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</si>
  <si>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</si>
  <si>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</si>
  <si>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</si>
  <si>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</si>
  <si>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</si>
  <si>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</si>
  <si>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</si>
  <si>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</si>
  <si>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</si>
  <si>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</si>
  <si>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</si>
  <si>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</si>
  <si>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</si>
  <si>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</si>
  <si>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</si>
  <si>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</si>
  <si>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</si>
  <si>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</si>
  <si>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</si>
  <si>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</si>
  <si>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</si>
  <si>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</si>
  <si>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</si>
  <si>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</si>
  <si>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</si>
  <si>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</si>
  <si>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</si>
  <si>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</si>
  <si>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</si>
  <si>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</si>
  <si>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</si>
  <si>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</si>
  <si>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</si>
  <si>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</si>
  <si>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</si>
  <si>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</si>
  <si>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</si>
  <si>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</si>
  <si>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</si>
  <si>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</si>
  <si>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</si>
  <si>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</si>
  <si>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</si>
  <si>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</si>
  <si>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</si>
  <si>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</si>
  <si>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</si>
  <si>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</si>
  <si>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</si>
  <si>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</si>
  <si>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</si>
  <si>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</si>
  <si>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</si>
  <si>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</si>
  <si>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</si>
  <si>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</si>
  <si>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</si>
  <si>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</si>
  <si>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</si>
  <si>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</si>
  <si>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</si>
  <si>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</si>
  <si>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</si>
  <si>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</si>
  <si>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</si>
  <si>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</si>
  <si>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</si>
  <si>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</si>
  <si>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</si>
  <si>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</si>
  <si>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</si>
  <si>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</si>
  <si>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</si>
  <si>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</si>
  <si>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</si>
  <si>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</si>
  <si>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</si>
  <si>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</si>
  <si>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</si>
  <si>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</si>
  <si>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</si>
  <si>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</si>
  <si>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</si>
  <si>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</si>
  <si>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</si>
  <si>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</si>
  <si>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</si>
  <si>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</si>
  <si>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</si>
  <si>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</si>
  <si>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</si>
  <si>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</si>
  <si>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</si>
  <si>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</si>
  <si>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</si>
  <si>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</si>
  <si>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</si>
  <si>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</si>
  <si>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</si>
  <si>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</si>
  <si>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</si>
  <si>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</si>
  <si>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</si>
  <si>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</si>
  <si>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</si>
  <si>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</si>
  <si>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</si>
  <si>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</si>
  <si>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</si>
  <si>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</si>
  <si>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</si>
  <si>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</si>
  <si>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</si>
  <si>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</si>
  <si>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</si>
  <si>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</si>
  <si>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</si>
  <si>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</si>
  <si>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</si>
  <si>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</si>
  <si>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</si>
  <si>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</si>
  <si>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</si>
  <si>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</si>
  <si>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</si>
  <si>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</si>
  <si>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</si>
  <si>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</si>
  <si>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</si>
  <si>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</si>
  <si>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</si>
  <si>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</si>
  <si>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</si>
  <si>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</si>
  <si>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</si>
  <si>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</si>
  <si>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</si>
  <si>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</si>
  <si>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</si>
  <si>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</si>
  <si>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</si>
  <si>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</si>
  <si>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</si>
  <si>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</si>
  <si>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</si>
  <si>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</si>
  <si>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</si>
  <si>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</si>
  <si>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</si>
  <si>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</si>
  <si>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</si>
  <si>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</si>
  <si>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</si>
  <si>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</si>
  <si>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</si>
  <si>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</si>
  <si>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</si>
  <si>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</si>
  <si>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</si>
  <si>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</si>
  <si>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</si>
  <si>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</si>
  <si>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</si>
  <si>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</si>
  <si>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</si>
  <si>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</si>
  <si>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</si>
  <si>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</si>
  <si>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</si>
  <si>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</si>
  <si>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</si>
  <si>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</si>
  <si>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</si>
  <si>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</si>
  <si>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</si>
  <si>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</si>
  <si>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</si>
  <si>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</si>
  <si>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</si>
  <si>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</si>
  <si>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</si>
  <si>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</si>
  <si>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</si>
  <si>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</si>
  <si>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</si>
  <si>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</si>
  <si>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</si>
  <si>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</si>
  <si>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</si>
  <si>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</si>
  <si>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</si>
  <si>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</si>
  <si>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</si>
  <si>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</si>
  <si>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</si>
  <si>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</si>
  <si>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</si>
  <si>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</si>
  <si>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</si>
  <si>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</si>
  <si>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</si>
  <si>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</si>
  <si>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</si>
  <si>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</si>
  <si>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</si>
  <si>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</si>
  <si>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</si>
  <si>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</si>
  <si>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</si>
  <si>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</si>
  <si>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</si>
  <si>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</si>
  <si>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</si>
  <si>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</si>
  <si>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</si>
  <si>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</si>
  <si>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</si>
  <si>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</si>
  <si>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</si>
  <si>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</si>
  <si>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</si>
  <si>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</si>
  <si>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</si>
  <si>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</si>
  <si>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</si>
  <si>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</si>
  <si>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</si>
  <si>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</si>
  <si>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</si>
  <si>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</si>
  <si>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</si>
  <si>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</si>
  <si>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</si>
  <si>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</si>
  <si>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</si>
  <si>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</si>
  <si>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</si>
  <si>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</si>
  <si>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</si>
  <si>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</si>
  <si>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</si>
  <si>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</si>
  <si>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</si>
  <si>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</si>
  <si>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</si>
  <si>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</si>
  <si>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</si>
  <si>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</si>
  <si>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</si>
  <si>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</si>
  <si>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</si>
  <si>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</si>
  <si>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</si>
  <si>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</si>
  <si>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</si>
  <si>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</si>
  <si>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</si>
  <si>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</si>
  <si>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</si>
  <si>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</si>
  <si>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</si>
  <si>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</si>
  <si>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</si>
  <si>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</si>
  <si>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</si>
  <si>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</si>
  <si>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</si>
  <si>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</si>
  <si>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</si>
  <si>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</si>
  <si>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</si>
  <si>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</si>
  <si>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</si>
  <si>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</si>
  <si>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</si>
  <si>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</si>
  <si>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</si>
  <si>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</si>
  <si>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</si>
  <si>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</si>
  <si>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</si>
  <si>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</si>
  <si>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</si>
  <si>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</si>
  <si>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</si>
  <si>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</si>
  <si>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</si>
  <si>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</si>
  <si>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</si>
  <si>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</si>
  <si>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</si>
  <si>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</si>
  <si>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</si>
  <si>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</si>
  <si>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</si>
  <si>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</si>
  <si>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</si>
  <si>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</si>
  <si>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</si>
  <si>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</si>
  <si>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</si>
  <si>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</si>
  <si>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</si>
  <si>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</si>
  <si>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</si>
  <si>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</si>
  <si>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</si>
  <si>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</si>
  <si>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</si>
  <si>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</si>
  <si>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</si>
  <si>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</si>
  <si>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</si>
  <si>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</si>
  <si>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</si>
  <si>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</si>
  <si>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</si>
  <si>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</si>
  <si>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</si>
  <si>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</si>
  <si>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</si>
  <si>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</si>
  <si>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</si>
  <si>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</si>
  <si>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</si>
  <si>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</si>
  <si>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</si>
  <si>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</si>
  <si>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</si>
  <si>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</si>
  <si>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</si>
  <si>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</si>
  <si>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</si>
  <si>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</si>
  <si>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</si>
  <si>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</si>
  <si>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</si>
  <si>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</si>
  <si>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</si>
  <si>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</si>
  <si>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</si>
  <si>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</si>
  <si>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</si>
  <si>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</si>
  <si>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</si>
  <si>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</si>
  <si>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</si>
  <si>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</si>
  <si>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</si>
  <si>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</si>
  <si>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</si>
  <si>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</si>
  <si>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</si>
  <si>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</si>
  <si>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</si>
  <si>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</si>
  <si>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</si>
  <si>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</si>
  <si>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</si>
  <si>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</si>
  <si>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</si>
  <si>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</si>
  <si>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</si>
  <si>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</si>
  <si>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</si>
  <si>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</si>
  <si>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</si>
  <si>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</si>
  <si>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</si>
  <si>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</si>
  <si>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</si>
  <si>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</si>
  <si>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</si>
  <si>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</si>
  <si>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</si>
  <si>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</si>
  <si>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</si>
  <si>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</si>
  <si>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</si>
  <si>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</si>
  <si>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</si>
  <si>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</si>
  <si>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</si>
  <si>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</si>
  <si>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</si>
  <si>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</si>
  <si>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</si>
  <si>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</si>
  <si>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</si>
  <si>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</si>
  <si>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</si>
  <si>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</si>
  <si>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</si>
  <si>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</si>
  <si>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</si>
  <si>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</si>
  <si>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</si>
  <si>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</si>
  <si>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</si>
  <si>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</si>
  <si>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</si>
  <si>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</si>
  <si>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</si>
  <si>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</si>
  <si>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</si>
  <si>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</si>
  <si>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</si>
  <si>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</si>
  <si>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</si>
  <si>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</si>
  <si>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</si>
  <si>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</si>
  <si>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</si>
  <si>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</si>
  <si>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</si>
  <si>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</si>
  <si>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</si>
  <si>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</si>
  <si>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</si>
  <si>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</si>
  <si>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</si>
  <si>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</si>
  <si>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</si>
  <si>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</si>
  <si>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</si>
  <si>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</si>
  <si>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</si>
  <si>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</si>
  <si>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</si>
  <si>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</si>
  <si>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</si>
  <si>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</si>
  <si>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</si>
  <si>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</si>
  <si>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</si>
  <si>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</si>
  <si>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</si>
  <si>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</si>
  <si>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</si>
  <si>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</si>
  <si>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</si>
  <si>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</si>
  <si>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</si>
  <si>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</si>
  <si>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</si>
  <si>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</si>
  <si>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</si>
  <si>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</si>
  <si>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</si>
  <si>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</si>
  <si>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</si>
  <si>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</si>
  <si>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</si>
  <si>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</si>
  <si>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</si>
  <si>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</si>
  <si>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</si>
  <si>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</si>
  <si>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</si>
  <si>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</si>
  <si>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</si>
  <si>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</si>
  <si>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</si>
  <si>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</si>
  <si>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</si>
  <si>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</si>
  <si>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</si>
  <si>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</si>
  <si>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</si>
  <si>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</si>
  <si>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</si>
  <si>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</si>
  <si>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</si>
  <si>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</si>
  <si>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</si>
  <si>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</si>
  <si>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</si>
  <si>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</si>
  <si>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</si>
  <si>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</si>
  <si>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</si>
  <si>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</si>
  <si>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</si>
  <si>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</si>
  <si>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</si>
  <si>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</si>
  <si>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</si>
  <si>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</si>
  <si>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</si>
  <si>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</si>
  <si>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</si>
  <si>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</si>
  <si>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</si>
  <si>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</si>
  <si>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</si>
  <si>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</si>
  <si>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</si>
  <si>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</si>
  <si>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</si>
  <si>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</si>
  <si>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</si>
  <si>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</si>
  <si>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</si>
  <si>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</si>
  <si>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</si>
  <si>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</si>
  <si>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</si>
  <si>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</si>
  <si>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</si>
  <si>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</si>
  <si>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</si>
  <si>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</si>
  <si>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</si>
  <si>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</si>
  <si>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</si>
  <si>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</si>
  <si>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</si>
  <si>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</si>
  <si>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</si>
  <si>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</si>
  <si>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</si>
  <si>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</si>
  <si>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</si>
  <si>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</si>
  <si>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</si>
  <si>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</si>
  <si>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</si>
  <si>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</si>
  <si>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</si>
  <si>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</si>
  <si>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</si>
  <si>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</si>
  <si>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</si>
  <si>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</si>
  <si>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</si>
  <si>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</si>
  <si>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</si>
  <si>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</si>
  <si>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</si>
  <si>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</si>
  <si>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</si>
  <si>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</si>
  <si>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</si>
  <si>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</si>
  <si>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</si>
  <si>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</si>
  <si>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</si>
  <si>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</si>
  <si>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</si>
  <si>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</si>
  <si>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</si>
  <si>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</si>
  <si>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</si>
  <si>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</si>
  <si>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</si>
  <si>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</si>
  <si>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</si>
  <si>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</si>
  <si>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</si>
  <si>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</si>
  <si>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</si>
  <si>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</si>
  <si>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</si>
  <si>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</si>
  <si>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</si>
  <si>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</si>
  <si>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</si>
  <si>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</si>
  <si>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</si>
  <si>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</si>
  <si>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</si>
  <si>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</si>
  <si>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</si>
  <si>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</si>
  <si>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</si>
  <si>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</si>
  <si>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</si>
  <si>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</si>
  <si>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</si>
  <si>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</si>
  <si>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</si>
  <si>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</si>
  <si>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</si>
  <si>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</si>
  <si>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</si>
  <si>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</si>
  <si>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</si>
  <si>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</si>
  <si>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</si>
  <si>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</si>
  <si>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</si>
  <si>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</si>
  <si>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</si>
  <si>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</si>
  <si>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</si>
  <si>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</si>
  <si>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</si>
  <si>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</si>
  <si>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</si>
  <si>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</si>
  <si>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</si>
  <si>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</si>
  <si>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</si>
  <si>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</si>
  <si>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</si>
  <si>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</si>
  <si>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</si>
  <si>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</si>
  <si>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</si>
  <si>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</si>
  <si>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</si>
  <si>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</si>
  <si>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</si>
  <si>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</si>
  <si>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</si>
  <si>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</si>
  <si>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</si>
  <si>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</si>
  <si>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</si>
  <si>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</si>
  <si>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</si>
  <si>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</si>
  <si>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</si>
  <si>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</si>
  <si>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</si>
  <si>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</si>
  <si>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</si>
  <si>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</si>
  <si>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</si>
  <si>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</si>
  <si>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</si>
  <si>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</si>
  <si>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</si>
  <si>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</si>
  <si>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</si>
  <si>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</si>
  <si>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</si>
  <si>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</si>
  <si>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</si>
  <si>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</si>
  <si>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</si>
  <si>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</si>
  <si>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</si>
  <si>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</si>
  <si>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</si>
  <si>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</si>
  <si>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</si>
  <si>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</si>
  <si>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</si>
  <si>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</si>
  <si>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</si>
  <si>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</si>
  <si>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</si>
  <si>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</si>
  <si>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</si>
  <si>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</si>
  <si>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</si>
  <si>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</si>
  <si>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</si>
  <si>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</si>
  <si>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</si>
  <si>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</si>
  <si>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</si>
  <si>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</si>
  <si>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</si>
  <si>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</si>
  <si>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</si>
  <si>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</si>
  <si>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</si>
  <si>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</si>
  <si>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</si>
  <si>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</si>
  <si>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</si>
  <si>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</si>
  <si>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</si>
  <si>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</si>
  <si>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</si>
  <si>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</si>
  <si>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</si>
  <si>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</si>
  <si>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</si>
  <si>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</si>
  <si>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</si>
  <si>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</si>
  <si>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</si>
  <si>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</si>
  <si>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</si>
  <si>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</si>
  <si>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</si>
  <si>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</si>
  <si>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</si>
  <si>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</si>
  <si>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</si>
  <si>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</si>
  <si>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</si>
  <si>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</si>
  <si>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</si>
  <si>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</si>
  <si>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</si>
  <si>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</si>
  <si>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</si>
  <si>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</si>
  <si>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</si>
  <si>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</si>
  <si>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</si>
  <si>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</si>
  <si>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</si>
  <si>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</si>
  <si>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</si>
  <si>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</si>
  <si>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</si>
  <si>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</si>
  <si>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</si>
  <si>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</si>
  <si>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</si>
  <si>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</si>
  <si>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</si>
  <si>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</si>
  <si>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</si>
  <si>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</si>
  <si>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</si>
  <si>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</si>
  <si>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</si>
  <si>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</si>
  <si>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</si>
  <si>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</si>
  <si>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</si>
  <si>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</si>
  <si>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</si>
  <si>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</si>
  <si>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</si>
  <si>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</si>
  <si>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</si>
  <si>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</si>
  <si>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</si>
  <si>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</si>
  <si>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</si>
  <si>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</si>
  <si>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</si>
  <si>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</si>
  <si>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</si>
  <si>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</si>
  <si>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</si>
  <si>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</si>
  <si>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</si>
  <si>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</si>
  <si>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</si>
  <si>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</si>
  <si>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</si>
  <si>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</si>
  <si>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</si>
  <si>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</si>
  <si>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</si>
  <si>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</si>
  <si>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</si>
  <si>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</si>
  <si>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</si>
  <si>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</si>
  <si>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</si>
  <si>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</si>
  <si>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</si>
  <si>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</si>
  <si>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</si>
  <si>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</si>
  <si>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</si>
  <si>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</si>
  <si>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</si>
  <si>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</si>
  <si>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</si>
  <si>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</si>
  <si>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</si>
  <si>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</si>
  <si>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</si>
  <si>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</si>
  <si>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</si>
  <si>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</si>
  <si>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</si>
  <si>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</si>
  <si>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</si>
  <si>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</si>
  <si>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</si>
  <si>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</si>
  <si>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</si>
  <si>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</si>
  <si>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</si>
  <si>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</si>
  <si>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</si>
  <si>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</si>
  <si>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</si>
  <si>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</si>
  <si>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</si>
  <si>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</si>
  <si>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</si>
  <si>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</si>
  <si>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</si>
  <si>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</si>
  <si>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</si>
  <si>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</si>
  <si>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</si>
  <si>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</si>
  <si>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</si>
  <si>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</si>
  <si>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</si>
  <si>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</si>
  <si>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</si>
  <si>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</si>
  <si>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</si>
  <si>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</si>
  <si>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</si>
  <si>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</si>
  <si>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</si>
  <si>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</si>
  <si>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</si>
  <si>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</si>
  <si>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</si>
  <si>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</si>
  <si>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</si>
  <si>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</si>
  <si>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</si>
  <si>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</si>
  <si>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</si>
  <si>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</si>
  <si>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</si>
  <si>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</si>
  <si>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</si>
  <si>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</si>
  <si>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</si>
  <si>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</si>
  <si>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</si>
  <si>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</si>
  <si>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</si>
  <si>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</si>
  <si>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</si>
  <si>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</si>
  <si>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</si>
  <si>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</si>
  <si>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</si>
  <si>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</si>
  <si>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</si>
  <si>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</si>
  <si>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</si>
  <si>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</si>
  <si>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</si>
  <si>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</si>
  <si>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</si>
  <si>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</si>
  <si>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</si>
  <si>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</si>
  <si>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</si>
  <si>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</si>
  <si>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</si>
  <si>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</si>
  <si>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</si>
  <si>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</si>
  <si>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</si>
  <si>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</si>
  <si>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</si>
  <si>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</si>
  <si>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</si>
  <si>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</si>
  <si>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</si>
  <si>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</si>
  <si>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</si>
  <si>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</si>
  <si>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</si>
  <si>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</si>
  <si>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</si>
  <si>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</si>
  <si>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</si>
  <si>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</si>
  <si>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</si>
  <si>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</si>
  <si>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</si>
  <si>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</si>
  <si>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</si>
  <si>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</si>
  <si>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</si>
  <si>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</si>
  <si>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</si>
  <si>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</si>
  <si>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</si>
  <si>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</si>
  <si>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</si>
  <si>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</si>
  <si>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</si>
  <si>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</si>
  <si>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</si>
  <si>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</si>
  <si>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</si>
  <si>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</si>
  <si>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</si>
  <si>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</si>
  <si>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</si>
  <si>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</si>
  <si>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</si>
  <si>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</si>
  <si>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</si>
  <si>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</si>
  <si>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</si>
  <si>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</si>
  <si>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</si>
  <si>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</si>
  <si>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</si>
  <si>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</si>
  <si>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</si>
  <si>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</si>
  <si>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</si>
  <si>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</si>
  <si>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</si>
  <si>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</si>
  <si>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</si>
  <si>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</si>
  <si>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</si>
  <si>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</si>
  <si>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</si>
  <si>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</si>
  <si>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</si>
  <si>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</si>
  <si>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</si>
  <si>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</si>
  <si>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</si>
  <si>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</si>
  <si>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</si>
  <si>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</si>
  <si>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</si>
  <si>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</si>
  <si>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</si>
  <si>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</si>
  <si>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</si>
  <si>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</si>
  <si>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</si>
  <si>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</si>
  <si>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</si>
  <si>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</si>
  <si>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</si>
  <si>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</si>
  <si>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</si>
  <si>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</si>
  <si>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</si>
  <si>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</si>
  <si>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</si>
  <si>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</si>
  <si>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</si>
  <si>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</si>
  <si>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</si>
  <si>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</si>
  <si>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</si>
  <si>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</si>
  <si>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</si>
  <si>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</si>
  <si>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</si>
  <si>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</si>
  <si>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</si>
  <si>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</si>
  <si>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</si>
  <si>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</si>
  <si>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</si>
  <si>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</si>
  <si>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</si>
  <si>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</si>
  <si>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</si>
  <si>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</si>
  <si>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</si>
  <si>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</si>
  <si>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</si>
  <si>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</si>
  <si>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</si>
  <si>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</si>
  <si>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</si>
  <si>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</si>
  <si>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</si>
  <si>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</si>
  <si>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</si>
  <si>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</si>
  <si>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</si>
  <si>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</si>
  <si>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</si>
  <si>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</si>
  <si>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</si>
  <si>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</si>
  <si>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</si>
  <si>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</si>
  <si>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</si>
  <si>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</si>
  <si>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</si>
  <si>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</si>
  <si>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</si>
  <si>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</si>
  <si>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</si>
  <si>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</si>
  <si>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</si>
  <si>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</si>
  <si>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</si>
  <si>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</si>
  <si>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</si>
  <si>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</si>
  <si>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</si>
  <si>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</si>
  <si>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</si>
  <si>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</si>
  <si>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</si>
  <si>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</si>
  <si>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</si>
  <si>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</si>
  <si>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</si>
  <si>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</si>
  <si>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</si>
  <si>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</si>
  <si>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</si>
  <si>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</si>
  <si>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</si>
  <si>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</si>
  <si>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</si>
  <si>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</si>
  <si>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</si>
  <si>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</si>
  <si>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</si>
  <si>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</si>
  <si>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</si>
  <si>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</si>
  <si>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</si>
  <si>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</si>
  <si>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</si>
  <si>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</si>
  <si>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</si>
  <si>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</si>
  <si>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</si>
  <si>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</si>
  <si>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</si>
  <si>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</si>
  <si>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</si>
  <si>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</si>
  <si>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</si>
  <si>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</si>
  <si>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</si>
  <si>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</si>
  <si>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</si>
  <si>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</si>
  <si>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</si>
  <si>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</si>
  <si>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</si>
  <si>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</si>
  <si>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</si>
  <si>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</si>
  <si>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</si>
  <si>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</si>
  <si>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</si>
  <si>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</si>
  <si>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</si>
  <si>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</si>
  <si>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</si>
  <si>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</si>
  <si>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</si>
  <si>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</si>
  <si>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</si>
  <si>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</si>
  <si>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</si>
  <si>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</si>
  <si>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</si>
  <si>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</si>
  <si>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</si>
  <si>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</si>
  <si>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</si>
  <si>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</si>
  <si>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</si>
  <si>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</si>
  <si>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</si>
  <si>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</si>
  <si>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</si>
  <si>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</si>
  <si>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</si>
  <si>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</si>
  <si>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</si>
  <si>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</si>
  <si>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</si>
  <si>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</si>
  <si>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</si>
  <si>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</si>
  <si>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</si>
  <si>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</si>
  <si>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</si>
  <si>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</si>
  <si>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</si>
  <si>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</si>
  <si>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</si>
  <si>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</si>
  <si>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</si>
  <si>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</si>
  <si>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</si>
  <si>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</si>
  <si>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</si>
  <si>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</si>
  <si>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</si>
  <si>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</si>
  <si>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</si>
  <si>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</si>
  <si>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</si>
  <si>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</si>
  <si>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</si>
  <si>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</si>
  <si>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</si>
  <si>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</si>
  <si>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</si>
  <si>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</si>
  <si>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</si>
  <si>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</si>
  <si>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</si>
  <si>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</si>
  <si>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</si>
  <si>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</si>
  <si>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</si>
  <si>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</si>
  <si>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</si>
  <si>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</si>
  <si>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</si>
  <si>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</si>
  <si>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</si>
  <si>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</si>
  <si>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</si>
  <si>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</si>
  <si>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</si>
  <si>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</si>
  <si>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</si>
  <si>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</si>
  <si>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</si>
  <si>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</si>
  <si>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</si>
  <si>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</si>
  <si>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</si>
  <si>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</si>
  <si>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</si>
  <si>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</si>
  <si>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</si>
  <si>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</si>
  <si>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</si>
  <si>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</si>
  <si>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</si>
  <si>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</si>
  <si>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</si>
  <si>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</si>
  <si>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</si>
  <si>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</si>
  <si>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</si>
  <si>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</si>
  <si>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</si>
  <si>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</si>
  <si>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</si>
  <si>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</si>
  <si>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</si>
  <si>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</si>
  <si>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</si>
  <si>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</si>
  <si>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</si>
  <si>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</si>
  <si>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</si>
  <si>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</si>
  <si>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</si>
  <si>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</si>
  <si>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</si>
  <si>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</si>
  <si>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</si>
  <si>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</si>
  <si>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</si>
  <si>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</si>
  <si>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</si>
  <si>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</si>
  <si>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</si>
  <si>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</si>
  <si>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</si>
  <si>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</si>
  <si>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</si>
  <si>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</si>
  <si>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</si>
  <si>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</si>
  <si>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</si>
  <si>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</si>
  <si>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</si>
  <si>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</si>
  <si>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</si>
  <si>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</si>
  <si>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</si>
  <si>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</si>
  <si>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</si>
  <si>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</si>
  <si>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</si>
  <si>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</si>
  <si>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</si>
  <si>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</si>
  <si>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</si>
  <si>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</si>
  <si>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</si>
  <si>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</si>
  <si>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</si>
  <si>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</si>
  <si>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</si>
  <si>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</si>
  <si>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</si>
  <si>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</si>
  <si>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</si>
  <si>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</si>
  <si>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</si>
  <si>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</si>
  <si>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</si>
  <si>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</si>
  <si>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</si>
  <si>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</si>
  <si>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</si>
  <si>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</si>
  <si>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</si>
  <si>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</si>
  <si>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</si>
  <si>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</si>
  <si>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</si>
  <si>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</si>
  <si>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</si>
  <si>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</si>
  <si>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</si>
  <si>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</si>
  <si>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</si>
  <si>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</si>
  <si>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</si>
  <si>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</si>
  <si>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</si>
  <si>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</si>
  <si>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</si>
  <si>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</si>
  <si>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</si>
  <si>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</si>
  <si>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</si>
  <si>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</si>
  <si>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</si>
  <si>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</si>
  <si>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</si>
  <si>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</si>
  <si>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</si>
  <si>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</si>
  <si>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</si>
  <si>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</si>
  <si>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</si>
  <si>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</si>
  <si>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</si>
  <si>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</si>
  <si>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</si>
  <si>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</si>
  <si>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</si>
  <si>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</si>
  <si>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</si>
  <si>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</si>
  <si>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</si>
  <si>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</si>
  <si>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</si>
  <si>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</si>
  <si>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</si>
  <si>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</si>
  <si>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</si>
  <si>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</si>
  <si>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</si>
  <si>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</si>
  <si>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</si>
  <si>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</si>
  <si>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</si>
  <si>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</si>
  <si>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</si>
  <si>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</si>
  <si>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</si>
  <si>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</si>
  <si>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</si>
  <si>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</si>
  <si>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</si>
  <si>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</si>
  <si>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</si>
  <si>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</si>
  <si>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</si>
  <si>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</si>
  <si>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</si>
  <si>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</si>
  <si>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</si>
  <si>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</si>
  <si>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</si>
  <si>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</si>
  <si>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</si>
  <si>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</si>
  <si>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</si>
  <si>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</si>
  <si>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</si>
  <si>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</si>
  <si>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</si>
  <si>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</si>
  <si>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</si>
  <si>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</si>
  <si>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</si>
  <si>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</si>
  <si>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</si>
  <si>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</si>
  <si>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</si>
  <si>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</si>
  <si>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</si>
  <si>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</si>
  <si>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</si>
  <si>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</si>
  <si>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</si>
  <si>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</si>
  <si>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</si>
  <si>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</si>
  <si>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</si>
  <si>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</si>
  <si>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</si>
  <si>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</si>
  <si>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</si>
  <si>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</si>
  <si>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</si>
  <si>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</si>
  <si>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</si>
  <si>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</si>
  <si>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</si>
  <si>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</si>
  <si>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</si>
  <si>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</si>
  <si>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</si>
  <si>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</si>
  <si>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</si>
  <si>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</si>
  <si>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</si>
  <si>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</si>
  <si>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</si>
  <si>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</si>
  <si>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</si>
  <si>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</si>
  <si>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</si>
  <si>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</si>
  <si>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</si>
  <si>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</si>
  <si>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</si>
  <si>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</si>
  <si>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</si>
  <si>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</si>
  <si>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</si>
  <si>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</si>
  <si>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</si>
  <si>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</si>
  <si>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</si>
  <si>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</si>
  <si>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</si>
  <si>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</si>
  <si>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</si>
  <si>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</si>
  <si>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</si>
  <si>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</si>
  <si>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</si>
  <si>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</si>
  <si>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</si>
  <si>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</si>
  <si>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</si>
  <si>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</si>
  <si>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</si>
  <si>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</si>
  <si>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</si>
  <si>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</si>
  <si>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</si>
  <si>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</si>
  <si>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</si>
  <si>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</si>
  <si>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</si>
  <si>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</si>
  <si>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</si>
  <si>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</si>
  <si>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</si>
  <si>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</si>
  <si>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</si>
  <si>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</si>
  <si>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</si>
  <si>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</si>
  <si>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</si>
  <si>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</si>
  <si>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</si>
  <si>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</si>
  <si>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</si>
  <si>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</si>
  <si>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</si>
  <si>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</si>
  <si>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</si>
  <si>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</si>
  <si>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</si>
  <si>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</si>
  <si>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</si>
  <si>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</si>
  <si>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</si>
  <si>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</si>
  <si>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</si>
  <si>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</si>
  <si>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</si>
  <si>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</si>
  <si>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</si>
  <si>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</si>
  <si>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</si>
  <si>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</si>
  <si>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</si>
  <si>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</si>
  <si>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</si>
  <si>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</si>
  <si>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</si>
  <si>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</si>
  <si>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</si>
  <si>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</si>
  <si>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</si>
  <si>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</si>
  <si>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</si>
  <si>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</si>
  <si>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</si>
  <si>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</si>
  <si>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</si>
  <si>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</si>
  <si>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</si>
  <si>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</si>
  <si>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</si>
  <si>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</si>
  <si>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</si>
  <si>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</si>
  <si>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</si>
  <si>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</si>
  <si>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</si>
  <si>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</si>
  <si>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</si>
  <si>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</si>
  <si>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</si>
  <si>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</si>
  <si>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</si>
  <si>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</si>
  <si>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</si>
  <si>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</si>
  <si>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</si>
  <si>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</si>
  <si>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</si>
  <si>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</si>
  <si>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</si>
  <si>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</si>
  <si>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</si>
  <si>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</si>
  <si>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</si>
  <si>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</si>
  <si>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</si>
  <si>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</si>
  <si>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</si>
  <si>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</si>
  <si>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</si>
  <si>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</si>
  <si>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</si>
  <si>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</si>
  <si>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</si>
  <si>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</si>
  <si>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</si>
  <si>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</si>
  <si>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</si>
  <si>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</si>
  <si>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</si>
  <si>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</si>
  <si>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</si>
  <si>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</si>
  <si>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</si>
  <si>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</si>
  <si>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</si>
  <si>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</si>
  <si>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</si>
  <si>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</si>
  <si>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</si>
  <si>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</si>
  <si>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</si>
  <si>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</si>
  <si>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</si>
  <si>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</si>
  <si>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</si>
  <si>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</si>
  <si>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</si>
  <si>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</si>
  <si>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</si>
  <si>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</si>
  <si>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</si>
  <si>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</si>
  <si>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</si>
  <si>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</si>
  <si>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</si>
  <si>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</si>
  <si>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</si>
  <si>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</si>
  <si>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</si>
  <si>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</si>
  <si>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</si>
  <si>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</si>
  <si>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</si>
  <si>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</si>
  <si>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</si>
  <si>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</si>
  <si>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</si>
  <si>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</si>
  <si>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</si>
  <si>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</si>
  <si>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</si>
  <si>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</si>
  <si>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</si>
  <si>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</si>
  <si>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</si>
  <si>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</si>
  <si>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</si>
  <si>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</si>
  <si>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</si>
  <si>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</si>
  <si>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</si>
  <si>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</si>
  <si>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</si>
  <si>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</si>
  <si>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</si>
  <si>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</si>
  <si>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</si>
  <si>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</si>
  <si>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</si>
  <si>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</si>
  <si>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</si>
  <si>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</si>
  <si>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</si>
  <si>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</si>
  <si>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</si>
  <si>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</si>
  <si>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</si>
  <si>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</si>
  <si>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</si>
  <si>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</si>
  <si>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</si>
  <si>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</si>
  <si>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</si>
  <si>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</si>
  <si>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</si>
  <si>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</si>
  <si>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</si>
  <si>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</si>
  <si>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</si>
  <si>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</si>
  <si>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</si>
  <si>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</si>
  <si>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</si>
  <si>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</si>
  <si>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</si>
  <si>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</si>
  <si>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</si>
  <si>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</si>
  <si>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</si>
  <si>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</si>
  <si>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</si>
  <si>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</si>
  <si>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</si>
  <si>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</si>
  <si>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</si>
  <si>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</si>
  <si>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</si>
  <si>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</si>
  <si>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</si>
  <si>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</si>
  <si>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</si>
  <si>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</si>
  <si>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</si>
  <si>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</si>
  <si>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</si>
  <si>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</si>
  <si>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</si>
  <si>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</si>
  <si>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</si>
  <si>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</si>
  <si>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</si>
  <si>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</si>
  <si>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</si>
  <si>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</si>
  <si>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</si>
  <si>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</si>
  <si>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</si>
  <si>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</si>
  <si>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</si>
  <si>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</si>
  <si>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</si>
  <si>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</si>
  <si>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</si>
  <si>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</si>
  <si>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</si>
  <si>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</si>
  <si>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</si>
  <si>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</si>
  <si>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</si>
  <si>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</si>
  <si>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</si>
  <si>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</si>
  <si>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</si>
  <si>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</si>
  <si>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</si>
  <si>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</si>
  <si>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</si>
  <si>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</si>
  <si>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</si>
  <si>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</si>
  <si>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</si>
  <si>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</si>
  <si>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</si>
  <si>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</si>
  <si>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</si>
  <si>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</si>
  <si>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</si>
  <si>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</si>
  <si>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</si>
  <si>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</si>
  <si>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</si>
  <si>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</si>
  <si>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</si>
  <si>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</si>
  <si>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</si>
  <si>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</si>
  <si>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</si>
  <si>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</si>
  <si>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</si>
  <si>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</si>
  <si>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</si>
  <si>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</si>
  <si>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</si>
  <si>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</si>
  <si>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</si>
  <si>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</si>
  <si>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</si>
  <si>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</si>
  <si>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</si>
  <si>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</si>
  <si>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</si>
  <si>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</si>
  <si>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</si>
  <si>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</si>
  <si>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</si>
  <si>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</si>
  <si>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</si>
  <si>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</si>
  <si>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</si>
  <si>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</si>
  <si>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</si>
  <si>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</si>
  <si>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</si>
  <si>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</si>
  <si>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</si>
  <si>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</si>
  <si>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</si>
  <si>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</si>
  <si>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</si>
  <si>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</si>
  <si>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</si>
  <si>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</si>
  <si>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</si>
  <si>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</si>
  <si>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</si>
  <si>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</si>
  <si>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</si>
  <si>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</si>
  <si>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</si>
  <si>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</si>
  <si>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</si>
  <si>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</si>
  <si>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</si>
  <si>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</si>
  <si>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</si>
  <si>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</si>
  <si>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</si>
  <si>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</si>
  <si>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</si>
  <si>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</si>
  <si>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</si>
  <si>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</si>
  <si>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</si>
  <si>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</si>
  <si>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</si>
  <si>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</si>
  <si>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</si>
  <si>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</si>
  <si>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</si>
  <si>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</si>
  <si>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</si>
  <si>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</si>
  <si>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</si>
  <si>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</si>
  <si>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</si>
  <si>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</si>
  <si>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</si>
  <si>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</si>
  <si>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</si>
  <si>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</si>
  <si>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</si>
  <si>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</si>
  <si>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</si>
  <si>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</si>
  <si>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</si>
  <si>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</si>
  <si>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</si>
  <si>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</si>
  <si>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</si>
  <si>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</si>
  <si>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</si>
  <si>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</si>
  <si>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</si>
  <si>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</si>
  <si>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</si>
  <si>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</si>
  <si>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</si>
  <si>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</si>
  <si>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</si>
  <si>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</si>
  <si>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</si>
  <si>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</si>
  <si>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</si>
  <si>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</si>
  <si>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</si>
  <si>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</si>
  <si>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</si>
  <si>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</si>
  <si>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</si>
  <si>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</si>
  <si>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</si>
  <si>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</si>
  <si>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</si>
  <si>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</si>
  <si>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</si>
  <si>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</si>
  <si>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</si>
  <si>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</si>
  <si>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</si>
  <si>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</si>
  <si>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</si>
  <si>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</si>
  <si>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</si>
  <si>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</si>
  <si>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</si>
  <si>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</si>
  <si>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</si>
  <si>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</si>
  <si>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</si>
  <si>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</si>
  <si>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</si>
  <si>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</si>
  <si>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</si>
  <si>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</si>
  <si>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</si>
  <si>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</si>
  <si>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</si>
  <si>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</si>
  <si>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</si>
  <si>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</si>
  <si>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</si>
  <si>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</si>
  <si>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</si>
  <si>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</si>
  <si>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</si>
  <si>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</si>
  <si>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</si>
  <si>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</si>
  <si>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</si>
  <si>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</si>
  <si>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</si>
  <si>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</si>
  <si>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</si>
  <si>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</si>
  <si>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</si>
  <si>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</si>
  <si>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</si>
  <si>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</si>
  <si>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</si>
  <si>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</si>
  <si>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</si>
  <si>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</si>
  <si>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</si>
  <si>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</si>
  <si>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</si>
  <si>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</si>
  <si>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</si>
  <si>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</si>
  <si>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</si>
  <si>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</si>
  <si>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</si>
  <si>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</si>
  <si>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</si>
  <si>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</si>
  <si>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</si>
  <si>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</si>
  <si>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</si>
  <si>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</si>
  <si>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</si>
  <si>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</si>
  <si>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</si>
  <si>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</si>
  <si>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</si>
  <si>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</si>
  <si>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</si>
  <si>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</si>
  <si>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</si>
  <si>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</si>
  <si>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</si>
  <si>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</si>
  <si>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</si>
  <si>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</si>
  <si>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</si>
  <si>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</si>
  <si>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</si>
  <si>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</si>
  <si>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</si>
  <si>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</si>
  <si>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</si>
  <si>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</si>
  <si>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</si>
  <si>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</si>
  <si>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</si>
  <si>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</si>
  <si>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</si>
  <si>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</si>
  <si>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</si>
  <si>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</si>
  <si>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</si>
  <si>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</si>
  <si>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</si>
  <si>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</si>
  <si>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</si>
  <si>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</si>
  <si>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</si>
  <si>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</si>
  <si>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</si>
  <si>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</si>
  <si>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</si>
  <si>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</si>
  <si>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</si>
  <si>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</si>
  <si>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</si>
  <si>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</si>
  <si>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</si>
  <si>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</si>
  <si>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</si>
  <si>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</si>
  <si>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</si>
  <si>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</si>
  <si>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</si>
  <si>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</si>
  <si>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</si>
  <si>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</si>
  <si>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</si>
  <si>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</si>
  <si>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</si>
  <si>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</si>
  <si>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</si>
  <si>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</si>
  <si>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</si>
  <si>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</si>
  <si>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</si>
  <si>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</si>
  <si>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</si>
  <si>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</si>
  <si>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</si>
  <si>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</si>
  <si>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</si>
  <si>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</si>
  <si>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</si>
  <si>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</si>
  <si>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</si>
  <si>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</si>
  <si>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</si>
  <si>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</si>
  <si>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</si>
  <si>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</si>
  <si>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</si>
  <si>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</si>
  <si>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</si>
  <si>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</si>
  <si>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</si>
  <si>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</si>
  <si>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</si>
  <si>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</si>
  <si>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</si>
  <si>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</si>
  <si>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</si>
  <si>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</si>
  <si>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</si>
  <si>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</si>
  <si>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</si>
  <si>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</si>
  <si>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</si>
  <si>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</si>
  <si>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</si>
  <si>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</si>
  <si>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</si>
  <si>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</si>
  <si>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</si>
  <si>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</si>
  <si>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</si>
  <si>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</si>
  <si>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</si>
  <si>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</si>
  <si>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</si>
  <si>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</si>
  <si>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</si>
  <si>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</si>
  <si>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</si>
  <si>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</si>
  <si>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</si>
  <si>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</si>
  <si>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</si>
  <si>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</si>
  <si>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</si>
  <si>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</si>
  <si>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</si>
  <si>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</si>
  <si>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</si>
  <si>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</si>
  <si>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</si>
  <si>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</si>
  <si>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</si>
  <si>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</si>
  <si>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</si>
  <si>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</si>
  <si>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</si>
  <si>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</si>
  <si>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</si>
  <si>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</si>
  <si>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</si>
  <si>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</si>
  <si>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</si>
  <si>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</si>
  <si>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</si>
  <si>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</si>
  <si>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</si>
  <si>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</si>
  <si>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</si>
  <si>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</si>
  <si>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</si>
  <si>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</si>
  <si>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</si>
  <si>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</si>
  <si>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</si>
  <si>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</si>
  <si>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</si>
  <si>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</si>
  <si>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</si>
  <si>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</si>
  <si>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</si>
  <si>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</si>
  <si>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</si>
  <si>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</si>
  <si>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</si>
  <si>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</si>
  <si>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</si>
  <si>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</si>
  <si>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</si>
  <si>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</si>
  <si>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</si>
  <si>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</si>
  <si>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</si>
  <si>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</si>
  <si>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</si>
  <si>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</si>
  <si>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</si>
  <si>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</si>
  <si>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</si>
  <si>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</si>
  <si>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</si>
  <si>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</si>
  <si>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</si>
  <si>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</si>
  <si>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</si>
  <si>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</si>
  <si>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</si>
  <si>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</si>
  <si>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</si>
  <si>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</si>
  <si>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</si>
  <si>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</si>
  <si>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</si>
  <si>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</si>
  <si>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</si>
  <si>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</si>
  <si>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</si>
  <si>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</si>
  <si>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</si>
  <si>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</si>
  <si>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</si>
  <si>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</si>
  <si>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</si>
  <si>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</si>
  <si>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</si>
  <si>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</si>
  <si>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</si>
  <si>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</si>
  <si>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</si>
  <si>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</si>
  <si>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</si>
  <si>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</si>
  <si>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</si>
  <si>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</si>
  <si>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</si>
  <si>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</si>
  <si>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</si>
  <si>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</si>
  <si>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</si>
  <si>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</si>
  <si>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</si>
  <si>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</si>
  <si>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</si>
  <si>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</si>
  <si>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</si>
  <si>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</si>
  <si>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</si>
  <si>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</si>
  <si>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</si>
  <si>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</si>
  <si>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</si>
  <si>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</si>
  <si>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</si>
  <si>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</si>
  <si>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</si>
  <si>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</si>
  <si>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</si>
  <si>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</si>
  <si>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</si>
  <si>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</si>
  <si>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</si>
  <si>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</si>
  <si>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</si>
  <si>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</si>
  <si>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</si>
  <si>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</si>
  <si>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</si>
  <si>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</si>
  <si>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</si>
  <si>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</si>
  <si>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</si>
  <si>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</si>
  <si>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</si>
  <si>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</si>
  <si>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</si>
  <si>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</si>
  <si>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</si>
  <si>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</si>
  <si>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</si>
  <si>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</si>
  <si>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</si>
  <si>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</si>
  <si>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</si>
  <si>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</si>
  <si>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</si>
  <si>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</si>
  <si>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</si>
  <si>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</si>
  <si>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</si>
  <si>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</si>
  <si>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</si>
  <si>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</si>
  <si>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</si>
  <si>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</si>
  <si>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</si>
  <si>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</si>
  <si>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</si>
  <si>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</si>
  <si>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</si>
  <si>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</si>
  <si>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</si>
  <si>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</si>
  <si>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</si>
  <si>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</si>
  <si>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</si>
  <si>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</si>
  <si>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</si>
  <si>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</si>
  <si>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</si>
  <si>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</si>
  <si>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</si>
  <si>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</si>
  <si>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</si>
  <si>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</si>
  <si>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</si>
  <si>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</si>
  <si>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</si>
  <si>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</si>
  <si>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</si>
  <si>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</si>
  <si>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</si>
  <si>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</si>
  <si>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</si>
  <si>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</si>
  <si>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</si>
  <si>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</si>
  <si>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</si>
  <si>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</si>
  <si>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</si>
  <si>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</si>
  <si>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</si>
  <si>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</si>
  <si>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</si>
  <si>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</si>
  <si>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</si>
  <si>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</si>
  <si>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</si>
  <si>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</si>
  <si>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</si>
  <si>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</si>
  <si>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</si>
  <si>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</si>
  <si>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</si>
  <si>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</si>
  <si>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</si>
  <si>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</si>
  <si>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</si>
  <si>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</si>
  <si>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</si>
  <si>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</si>
  <si>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</si>
  <si>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</si>
  <si>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</si>
  <si>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</si>
  <si>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</si>
  <si>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</si>
  <si>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</si>
  <si>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</si>
  <si>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</si>
  <si>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</si>
  <si>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</si>
  <si>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</si>
  <si>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</si>
  <si>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</si>
  <si>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</si>
  <si>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</si>
  <si>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</si>
  <si>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</si>
  <si>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</si>
  <si>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</si>
  <si>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</si>
  <si>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</si>
  <si>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</si>
  <si>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</si>
  <si>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</si>
  <si>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</si>
  <si>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</si>
  <si>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</si>
  <si>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</si>
  <si>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</si>
  <si>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</si>
  <si>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</si>
  <si>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</si>
  <si>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</si>
  <si>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</si>
  <si>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</si>
  <si>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</si>
  <si>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</si>
  <si>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</si>
  <si>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</si>
  <si>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</si>
  <si>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</si>
  <si>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</si>
  <si>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</si>
  <si>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</si>
  <si>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</si>
  <si>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</si>
  <si>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</si>
  <si>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</si>
  <si>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</si>
  <si>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</si>
  <si>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</si>
  <si>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</si>
  <si>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</si>
  <si>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</si>
  <si>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</si>
  <si>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</si>
  <si>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</si>
  <si>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</si>
  <si>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</si>
  <si>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</si>
  <si>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</si>
  <si>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</si>
  <si>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</si>
  <si>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</si>
  <si>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</si>
  <si>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</si>
  <si>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</si>
  <si>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</si>
  <si>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</si>
  <si>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</si>
  <si>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</si>
  <si>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</si>
  <si>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</si>
  <si>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</si>
  <si>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</si>
  <si>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</si>
  <si>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</si>
  <si>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</si>
  <si>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</si>
  <si>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</si>
  <si>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</si>
  <si>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</si>
  <si>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</si>
  <si>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</si>
  <si>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</si>
  <si>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</si>
  <si>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</si>
  <si>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</si>
  <si>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</si>
  <si>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</si>
  <si>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</si>
  <si>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</si>
  <si>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</si>
  <si>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</si>
  <si>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</si>
  <si>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</si>
  <si>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</si>
  <si>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</si>
  <si>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</si>
  <si>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</si>
  <si>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</si>
  <si>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</si>
  <si>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</si>
  <si>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</si>
  <si>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</si>
  <si>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</si>
  <si>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</si>
  <si>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</si>
  <si>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</si>
  <si>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</si>
  <si>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</si>
  <si>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</si>
  <si>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</si>
  <si>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</si>
  <si>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</si>
  <si>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</si>
  <si>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</si>
  <si>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</si>
  <si>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</si>
  <si>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</si>
  <si>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</si>
  <si>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</si>
  <si>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</si>
  <si>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</si>
  <si>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</si>
  <si>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</si>
  <si>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</si>
  <si>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</si>
  <si>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</si>
  <si>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</si>
  <si>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</si>
  <si>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</si>
  <si>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</si>
  <si>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</si>
  <si>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</si>
  <si>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</si>
  <si>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</si>
  <si>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</si>
  <si>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</si>
  <si>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</si>
  <si>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</si>
  <si>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</si>
  <si>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</si>
  <si>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</si>
  <si>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</si>
  <si>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</si>
  <si>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</si>
  <si>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</si>
  <si>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</si>
  <si>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</si>
  <si>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</si>
  <si>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</si>
  <si>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</si>
  <si>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</si>
  <si>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</si>
  <si>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</si>
  <si>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</si>
  <si>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</si>
  <si>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</si>
  <si>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</si>
  <si>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</si>
  <si>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</si>
  <si>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</si>
  <si>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</si>
  <si>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</si>
  <si>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</si>
  <si>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</si>
  <si>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</si>
  <si>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</si>
  <si>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</si>
  <si>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</si>
  <si>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</si>
  <si>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</si>
  <si>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</si>
  <si>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</si>
  <si>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</si>
  <si>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</si>
  <si>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</si>
  <si>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</si>
  <si>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</si>
  <si>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</si>
  <si>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</si>
  <si>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</si>
  <si>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</si>
  <si>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</si>
  <si>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</si>
  <si>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</si>
  <si>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</si>
  <si>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</si>
  <si>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</si>
  <si>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</si>
  <si>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</si>
  <si>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</si>
  <si>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</si>
  <si>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</si>
  <si>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</si>
  <si>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</si>
  <si>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</si>
  <si>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</si>
  <si>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</si>
  <si>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</si>
  <si>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</si>
  <si>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</si>
  <si>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</si>
  <si>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</si>
  <si>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</si>
  <si>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</si>
  <si>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</si>
  <si>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</si>
  <si>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</si>
  <si>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</si>
  <si>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</si>
  <si>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</si>
  <si>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</si>
  <si>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</si>
  <si>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</si>
  <si>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</si>
  <si>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</si>
  <si>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</si>
  <si>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</si>
  <si>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</si>
  <si>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</si>
  <si>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</si>
  <si>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</si>
  <si>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</si>
  <si>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</si>
  <si>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</si>
  <si>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</si>
  <si>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</si>
  <si>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</si>
  <si>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</si>
  <si>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</si>
  <si>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</si>
  <si>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</si>
  <si>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</si>
  <si>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</si>
  <si>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</si>
  <si>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</si>
  <si>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</si>
  <si>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</si>
  <si>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</si>
  <si>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</si>
  <si>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</si>
  <si>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</si>
  <si>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</si>
  <si>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</si>
  <si>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</si>
  <si>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</si>
  <si>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</si>
  <si>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</si>
  <si>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</si>
  <si>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</si>
  <si>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</si>
  <si>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</si>
  <si>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</si>
  <si>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</si>
  <si>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</si>
  <si>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</si>
  <si>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</si>
  <si>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</si>
  <si>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</si>
  <si>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</si>
  <si>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</si>
  <si>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</si>
  <si>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</si>
  <si>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</si>
  <si>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</si>
  <si>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</si>
  <si>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</si>
  <si>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</si>
  <si>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</si>
  <si>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</si>
  <si>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</si>
  <si>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</si>
  <si>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</si>
  <si>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</si>
  <si>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</si>
  <si>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</si>
  <si>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</si>
  <si>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</si>
  <si>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</si>
  <si>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</si>
  <si>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</si>
  <si>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</si>
  <si>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</si>
  <si>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</si>
  <si>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</si>
  <si>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</si>
  <si>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</si>
  <si>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</si>
  <si>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</si>
  <si>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</si>
  <si>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</si>
  <si>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</si>
  <si>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</si>
  <si>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</si>
  <si>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</si>
  <si>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</si>
  <si>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</si>
  <si>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</si>
  <si>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</si>
  <si>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</si>
  <si>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</si>
  <si>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</si>
  <si>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</si>
  <si>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</si>
  <si>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</si>
  <si>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</si>
  <si>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</si>
  <si>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</si>
  <si>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</si>
  <si>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</si>
  <si>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</si>
  <si>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</si>
  <si>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</si>
  <si>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</si>
  <si>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</si>
  <si>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</si>
  <si>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</si>
  <si>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</si>
  <si>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</si>
  <si>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</si>
  <si>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</si>
  <si>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</si>
  <si>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</si>
  <si>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</si>
  <si>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</si>
  <si>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</si>
  <si>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</si>
  <si>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</si>
  <si>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</si>
  <si>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</si>
  <si>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</si>
  <si>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</si>
  <si>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</si>
  <si>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</si>
  <si>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</si>
  <si>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</si>
  <si>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</si>
  <si>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</si>
  <si>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</si>
  <si>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</si>
  <si>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</si>
  <si>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</si>
  <si>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</si>
  <si>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</si>
  <si>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</si>
  <si>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</si>
  <si>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</si>
  <si>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</si>
  <si>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</si>
  <si>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</si>
  <si>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</si>
  <si>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</si>
  <si>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</si>
  <si>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</si>
  <si>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</si>
  <si>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</si>
  <si>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</si>
  <si>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</si>
  <si>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</si>
  <si>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</si>
  <si>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</si>
  <si>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</si>
  <si>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</si>
  <si>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</si>
  <si>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</si>
  <si>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</si>
  <si>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</si>
  <si>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</si>
  <si>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</si>
  <si>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</si>
  <si>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</si>
  <si>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</si>
  <si>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</si>
  <si>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</si>
  <si>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</si>
  <si>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</si>
  <si>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</si>
  <si>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</si>
  <si>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</si>
  <si>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</si>
  <si>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</si>
  <si>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</si>
  <si>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</si>
  <si>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</si>
  <si>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</si>
  <si>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</si>
  <si>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</si>
  <si>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</si>
  <si>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</si>
  <si>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</si>
  <si>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</si>
  <si>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</si>
  <si>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</si>
  <si>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</si>
  <si>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</si>
  <si>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</si>
  <si>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</si>
  <si>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</si>
  <si>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</si>
  <si>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</si>
  <si>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</si>
  <si>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</si>
  <si>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</si>
  <si>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</si>
  <si>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</si>
  <si>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</si>
  <si>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</si>
  <si>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</si>
  <si>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</si>
  <si>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</si>
  <si>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</si>
  <si>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</si>
  <si>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</si>
  <si>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</si>
  <si>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</si>
  <si>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</si>
  <si>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</si>
  <si>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</si>
  <si>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</si>
  <si>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</si>
  <si>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</si>
  <si>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</si>
  <si>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</si>
  <si>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</si>
  <si>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</si>
  <si>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</si>
  <si>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</si>
  <si>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</si>
  <si>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</si>
  <si>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</si>
  <si>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</si>
  <si>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</si>
  <si>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</si>
  <si>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</si>
  <si>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</si>
  <si>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</si>
  <si>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</si>
  <si>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</si>
  <si>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</si>
  <si>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</si>
  <si>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</si>
  <si>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</si>
  <si>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</si>
  <si>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</si>
  <si>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</si>
  <si>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</si>
  <si>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</si>
  <si>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</si>
  <si>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</si>
  <si>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</si>
  <si>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</si>
  <si>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</si>
  <si>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</si>
  <si>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</si>
  <si>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</si>
  <si>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</si>
  <si>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</si>
  <si>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</si>
  <si>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</si>
  <si>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</si>
  <si>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</si>
  <si>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</si>
  <si>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</si>
  <si>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</si>
  <si>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</si>
  <si>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</si>
  <si>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</si>
  <si>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</si>
  <si>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</si>
  <si>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</si>
  <si>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</si>
  <si>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</si>
  <si>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</si>
  <si>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</si>
  <si>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</si>
  <si>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</si>
  <si>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</si>
  <si>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</si>
  <si>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</si>
  <si>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</si>
  <si>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</si>
  <si>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</si>
  <si>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</si>
  <si>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</si>
  <si>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</si>
  <si>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</si>
  <si>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</si>
  <si>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</si>
  <si>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</si>
  <si>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</si>
  <si>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</si>
  <si>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</si>
  <si>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</si>
  <si>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</si>
  <si>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</si>
  <si>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</si>
  <si>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</si>
  <si>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</si>
  <si>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</si>
  <si>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</si>
  <si>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</si>
  <si>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</si>
  <si>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</si>
  <si>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</si>
  <si>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</si>
  <si>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</si>
  <si>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</si>
  <si>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</si>
  <si>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</si>
  <si>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</si>
  <si>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</si>
  <si>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</si>
  <si>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</si>
  <si>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</si>
  <si>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</si>
  <si>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</si>
  <si>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</si>
  <si>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</si>
  <si>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</si>
  <si>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</si>
  <si>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</si>
  <si>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</si>
  <si>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</si>
  <si>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</si>
  <si>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</si>
  <si>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</si>
  <si>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</si>
  <si>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</si>
  <si>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</si>
  <si>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</si>
  <si>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</si>
  <si>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</si>
  <si>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</si>
  <si>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</si>
  <si>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</si>
  <si>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</si>
  <si>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</si>
  <si>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</si>
  <si>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</si>
  <si>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</si>
  <si>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</si>
  <si>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</si>
  <si>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</si>
  <si>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</si>
  <si>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</si>
  <si>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</si>
  <si>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</si>
  <si>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</si>
  <si>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</si>
  <si>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</si>
  <si>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</si>
  <si>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</si>
  <si>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</si>
  <si>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</si>
  <si>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</si>
  <si>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</si>
  <si>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</si>
  <si>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</si>
  <si>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</si>
  <si>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</si>
  <si>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</si>
  <si>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</si>
  <si>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</si>
  <si>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</si>
  <si>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</si>
  <si>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</si>
  <si>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</si>
  <si>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</si>
  <si>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</si>
  <si>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</si>
  <si>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</si>
  <si>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</si>
  <si>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</si>
  <si>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</si>
  <si>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</si>
  <si>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</si>
  <si>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</si>
  <si>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</si>
  <si>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</si>
  <si>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</si>
  <si>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</si>
  <si>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</si>
  <si>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</si>
  <si>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</si>
  <si>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</si>
  <si>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</si>
  <si>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</si>
  <si>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</si>
  <si>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</si>
  <si>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</si>
  <si>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</si>
  <si>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</si>
  <si>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</si>
  <si>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</si>
  <si>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</si>
  <si>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</si>
  <si>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</si>
  <si>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</si>
  <si>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</si>
  <si>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</si>
  <si>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</si>
  <si>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</si>
  <si>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</si>
  <si>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</si>
  <si>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</si>
  <si>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</si>
  <si>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</si>
  <si>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</si>
  <si>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</si>
  <si>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</si>
  <si>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</si>
  <si>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</si>
  <si>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</si>
  <si>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</si>
  <si>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</si>
  <si>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</si>
  <si>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</si>
  <si>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</si>
  <si>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</si>
  <si>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</si>
  <si>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</si>
  <si>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</si>
  <si>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</si>
  <si>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</si>
  <si>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</si>
  <si>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</si>
  <si>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</si>
  <si>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</si>
  <si>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</si>
  <si>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</si>
  <si>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</si>
  <si>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</si>
  <si>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</si>
  <si>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</si>
  <si>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</si>
  <si>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</si>
  <si>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</si>
  <si>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</si>
  <si>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</si>
  <si>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</si>
  <si>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</si>
  <si>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</si>
  <si>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</si>
  <si>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</si>
  <si>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</si>
  <si>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</si>
  <si>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</si>
  <si>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</si>
  <si>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</si>
  <si>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</si>
  <si>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</si>
  <si>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</si>
  <si>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</si>
  <si>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</si>
  <si>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</si>
  <si>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</si>
  <si>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</si>
  <si>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</si>
  <si>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</si>
  <si>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</si>
  <si>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</si>
  <si>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</si>
  <si>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</si>
  <si>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</si>
  <si>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</si>
  <si>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</si>
  <si>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</si>
  <si>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</si>
  <si>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</si>
  <si>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</si>
  <si>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</si>
  <si>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</si>
  <si>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</si>
  <si>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</si>
  <si>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</si>
  <si>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</si>
  <si>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</si>
  <si>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</si>
  <si>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</si>
  <si>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</si>
  <si>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</si>
  <si>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</si>
  <si>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</si>
  <si>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</si>
  <si>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</si>
  <si>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</si>
  <si>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</si>
  <si>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</si>
  <si>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</si>
  <si>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</si>
  <si>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</si>
  <si>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</si>
  <si>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</si>
  <si>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</si>
  <si>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</si>
  <si>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</si>
  <si>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</si>
  <si>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</si>
  <si>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</si>
  <si>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</si>
  <si>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</si>
  <si>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</si>
  <si>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</si>
  <si>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</si>
  <si>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</si>
  <si>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</si>
  <si>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</si>
  <si>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</si>
  <si>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</si>
  <si>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</si>
  <si>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</si>
  <si>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</si>
  <si>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</si>
  <si>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</si>
  <si>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</si>
  <si>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</si>
  <si>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</si>
  <si>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</si>
  <si>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</si>
  <si>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</si>
  <si>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</si>
  <si>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</si>
  <si>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</si>
  <si>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</si>
  <si>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</si>
  <si>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</si>
  <si>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</si>
  <si>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</si>
  <si>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</si>
  <si>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</si>
  <si>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</si>
  <si>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</si>
  <si>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</si>
  <si>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</si>
  <si>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</si>
  <si>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</si>
  <si>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</si>
  <si>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</si>
  <si>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</si>
  <si>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</si>
  <si>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</si>
  <si>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</si>
  <si>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</si>
  <si>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</si>
  <si>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</si>
  <si>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</si>
  <si>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</si>
  <si>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</si>
  <si>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</si>
  <si>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</si>
  <si>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</si>
  <si>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</si>
  <si>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</si>
  <si>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</si>
  <si>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</si>
  <si>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</si>
  <si>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</si>
  <si>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</si>
  <si>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</si>
  <si>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</si>
  <si>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</si>
  <si>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</si>
  <si>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</si>
  <si>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</si>
  <si>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</si>
  <si>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</si>
  <si>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</si>
  <si>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</si>
  <si>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</si>
  <si>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</si>
  <si>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</si>
  <si>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</si>
  <si>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</si>
  <si>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</si>
  <si>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</si>
  <si>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</si>
  <si>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</si>
  <si>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</si>
  <si>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</si>
  <si>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</si>
  <si>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</si>
  <si>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</si>
  <si>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</si>
  <si>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</si>
  <si>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</si>
  <si>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</si>
  <si>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</si>
  <si>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</si>
  <si>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</si>
  <si>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</si>
  <si>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</si>
  <si>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</si>
  <si>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</si>
  <si>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</si>
  <si>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</si>
  <si>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</si>
  <si>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</si>
  <si>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</si>
  <si>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</si>
  <si>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</si>
  <si>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</si>
  <si>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</si>
  <si>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</si>
  <si>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</si>
  <si>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</si>
  <si>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</si>
  <si>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</si>
  <si>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</si>
  <si>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</si>
  <si>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</si>
  <si>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</si>
  <si>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</si>
  <si>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</si>
  <si>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</si>
  <si>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</si>
  <si>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</si>
  <si>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</si>
  <si>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</si>
  <si>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</si>
  <si>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</si>
  <si>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</si>
  <si>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</si>
  <si>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</si>
  <si>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</si>
  <si>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</si>
  <si>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</si>
  <si>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</si>
  <si>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</si>
  <si>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</si>
  <si>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</si>
  <si>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</si>
  <si>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</si>
  <si>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</si>
  <si>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</si>
  <si>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</si>
  <si>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</si>
  <si>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</si>
  <si>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</si>
  <si>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</si>
  <si>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</si>
  <si>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</si>
  <si>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</si>
  <si>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</si>
  <si>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</si>
  <si>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</si>
  <si>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</si>
  <si>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</si>
  <si>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</si>
  <si>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</si>
  <si>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</si>
  <si>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</si>
  <si>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</si>
  <si>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</si>
  <si>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</si>
  <si>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</si>
  <si>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</si>
  <si>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</si>
  <si>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</si>
  <si>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</si>
  <si>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</si>
  <si>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</si>
  <si>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</si>
  <si>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</si>
  <si>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</si>
  <si>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</si>
  <si>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</si>
  <si>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</si>
  <si>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</si>
  <si>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</si>
  <si>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</si>
  <si>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</si>
  <si>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</si>
  <si>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</si>
  <si>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</si>
  <si>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</si>
  <si>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</si>
  <si>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</si>
  <si>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</si>
  <si>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</si>
  <si>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</si>
  <si>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</si>
  <si>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</si>
  <si>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</si>
  <si>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</si>
  <si>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</si>
  <si>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</si>
  <si>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</si>
  <si>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</si>
  <si>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</si>
  <si>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</si>
  <si>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</si>
  <si>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</si>
  <si>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</si>
  <si>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</si>
  <si>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</si>
  <si>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</si>
  <si>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</si>
  <si>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</si>
  <si>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</si>
  <si>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</si>
  <si>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</si>
  <si>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</si>
  <si>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</si>
  <si>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</si>
  <si>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</si>
  <si>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</si>
  <si>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</si>
  <si>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</si>
  <si>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</si>
  <si>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</si>
  <si>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</si>
  <si>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</si>
  <si>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</si>
  <si>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</si>
  <si>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</si>
  <si>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</si>
  <si>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</si>
  <si>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</si>
  <si>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</si>
  <si>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</si>
  <si>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</si>
  <si>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</si>
  <si>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</si>
  <si>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</si>
  <si>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</si>
  <si>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</si>
  <si>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</si>
  <si>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</si>
  <si>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</si>
  <si>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</si>
  <si>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</si>
  <si>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</si>
  <si>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</si>
  <si>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</si>
  <si>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</si>
  <si>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</si>
  <si>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</si>
  <si>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</si>
  <si>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</si>
  <si>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</si>
  <si>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</si>
  <si>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</si>
  <si>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</si>
  <si>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</si>
  <si>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</si>
  <si>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</si>
  <si>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</si>
  <si>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</si>
  <si>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</si>
  <si>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</si>
  <si>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</si>
  <si>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</si>
  <si>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</si>
  <si>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</si>
  <si>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</si>
  <si>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</si>
  <si>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</si>
  <si>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</si>
  <si>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</si>
  <si>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</si>
  <si>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</si>
  <si>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</si>
  <si>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</si>
  <si>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</si>
  <si>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</si>
  <si>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</si>
  <si>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</si>
  <si>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</si>
  <si>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</si>
  <si>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</si>
  <si>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</si>
  <si>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</si>
  <si>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</si>
  <si>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</si>
  <si>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</si>
  <si>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</si>
  <si>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</si>
  <si>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</si>
  <si>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</si>
  <si>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</si>
  <si>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</si>
  <si>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</si>
  <si>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</si>
  <si>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</si>
  <si>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</si>
  <si>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</si>
  <si>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</si>
  <si>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</si>
  <si>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</si>
  <si>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</si>
  <si>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</si>
  <si>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</si>
  <si>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</si>
  <si>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</si>
  <si>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</si>
  <si>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</si>
  <si>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</si>
  <si>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</si>
  <si>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</si>
  <si>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</si>
  <si>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</si>
  <si>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</si>
  <si>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</si>
  <si>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</si>
  <si>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</si>
  <si>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</si>
  <si>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</si>
  <si>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</si>
  <si>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</si>
  <si>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</si>
  <si>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</si>
  <si>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</si>
  <si>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</si>
  <si>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</si>
  <si>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</si>
  <si>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</si>
  <si>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</si>
  <si>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</si>
  <si>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</si>
  <si>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</si>
  <si>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</si>
  <si>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</si>
  <si>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</si>
  <si>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</si>
  <si>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</si>
  <si>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</si>
  <si>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</si>
  <si>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</si>
  <si>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</si>
  <si>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</si>
  <si>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</si>
  <si>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</si>
  <si>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</si>
  <si>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</si>
  <si>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</si>
  <si>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</si>
  <si>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</si>
  <si>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</si>
  <si>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</si>
  <si>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</si>
  <si>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</si>
  <si>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</si>
  <si>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</si>
  <si>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</si>
  <si>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</si>
  <si>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</si>
  <si>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</si>
  <si>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</si>
  <si>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</si>
  <si>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</si>
  <si>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</si>
  <si>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</si>
  <si>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</si>
  <si>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</si>
  <si>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</si>
  <si>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</si>
  <si>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</si>
  <si>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</si>
  <si>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</si>
  <si>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</si>
  <si>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</si>
  <si>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</si>
  <si>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</si>
  <si>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</si>
  <si>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</si>
  <si>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</si>
  <si>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</si>
  <si>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</si>
  <si>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</si>
  <si>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</si>
  <si>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</si>
  <si>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</si>
  <si>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</si>
  <si>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</si>
  <si>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</si>
  <si>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</si>
  <si>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</si>
  <si>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</si>
  <si>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</si>
  <si>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</si>
  <si>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</si>
  <si>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</si>
  <si>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</si>
  <si>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</si>
  <si>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</si>
  <si>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</si>
  <si>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</si>
  <si>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</si>
  <si>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</si>
  <si>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</si>
  <si>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</si>
  <si>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</si>
  <si>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</si>
  <si>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</si>
  <si>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</si>
  <si>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</si>
  <si>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</si>
  <si>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</si>
  <si>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</si>
  <si>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</si>
  <si>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</si>
  <si>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</si>
  <si>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</si>
  <si>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</si>
  <si>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</si>
  <si>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</si>
  <si>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</si>
  <si>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</si>
  <si>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</si>
  <si>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</si>
  <si>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</si>
  <si>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</si>
  <si>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</si>
  <si>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</si>
  <si>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</si>
  <si>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</si>
  <si>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</si>
  <si>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</si>
  <si>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</si>
  <si>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</si>
  <si>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</si>
  <si>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</si>
  <si>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</si>
  <si>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</si>
  <si>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</si>
  <si>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</si>
  <si>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</si>
  <si>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</si>
  <si>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</si>
  <si>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</si>
  <si>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</si>
  <si>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</si>
  <si>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</si>
  <si>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</si>
  <si>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</si>
  <si>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</si>
  <si>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</si>
  <si>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</si>
  <si>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</si>
  <si>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</si>
  <si>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</si>
  <si>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</si>
  <si>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</si>
  <si>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</si>
  <si>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</si>
  <si>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</si>
  <si>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</si>
  <si>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</si>
  <si>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</si>
  <si>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</si>
  <si>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</si>
  <si>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</si>
  <si>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</si>
  <si>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</si>
  <si>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</si>
  <si>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</si>
  <si>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</si>
  <si>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</si>
  <si>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</si>
  <si>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</si>
  <si>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</si>
  <si>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</si>
  <si>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</si>
  <si>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</si>
  <si>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</si>
  <si>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</si>
  <si>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</si>
  <si>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</si>
  <si>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</si>
  <si>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</si>
  <si>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</si>
  <si>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</si>
  <si>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</si>
  <si>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</si>
  <si>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</si>
  <si>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</si>
  <si>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</si>
  <si>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</si>
  <si>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</si>
  <si>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</si>
  <si>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</si>
  <si>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</si>
  <si>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</si>
  <si>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</si>
  <si>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</si>
  <si>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</si>
  <si>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</si>
  <si>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</si>
  <si>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</si>
  <si>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</si>
  <si>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</si>
  <si>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</si>
  <si>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</si>
  <si>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</si>
  <si>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</si>
  <si>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</si>
  <si>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</si>
  <si>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</si>
  <si>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</si>
  <si>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</si>
  <si>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</si>
  <si>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</si>
  <si>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</si>
  <si>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</si>
  <si>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</si>
  <si>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</si>
  <si>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</si>
  <si>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</si>
  <si>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</si>
  <si>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</si>
  <si>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</si>
  <si>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</si>
  <si>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</si>
  <si>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</si>
  <si>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</si>
  <si>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</si>
  <si>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</si>
  <si>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</si>
  <si>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</si>
  <si>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</si>
  <si>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</si>
  <si>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</si>
  <si>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</si>
  <si>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</si>
  <si>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</si>
  <si>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</si>
  <si>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</si>
  <si>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</si>
  <si>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</si>
  <si>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</si>
  <si>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</si>
  <si>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</si>
  <si>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</si>
  <si>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</si>
  <si>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</si>
  <si>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</si>
  <si>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</si>
  <si>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</si>
  <si>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</si>
  <si>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</si>
  <si>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</si>
  <si>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</si>
  <si>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</si>
  <si>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</si>
  <si>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</si>
  <si>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</si>
  <si>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</si>
  <si>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</si>
  <si>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</si>
  <si>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</si>
  <si>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</si>
  <si>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</si>
  <si>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</si>
  <si>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</si>
  <si>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</si>
  <si>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</si>
  <si>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</si>
  <si>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</si>
  <si>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</si>
  <si>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</si>
  <si>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</si>
  <si>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</si>
  <si>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</si>
  <si>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</si>
  <si>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</si>
  <si>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</si>
  <si>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</si>
  <si>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</si>
  <si>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</si>
  <si>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</si>
  <si>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</si>
  <si>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</si>
  <si>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</si>
  <si>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</si>
  <si>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</si>
  <si>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</si>
  <si>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</si>
  <si>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</si>
  <si>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</si>
  <si>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</si>
  <si>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</si>
  <si>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</si>
  <si>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</si>
  <si>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</si>
  <si>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</si>
  <si>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</si>
  <si>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</si>
  <si>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</si>
  <si>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</si>
  <si>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</si>
  <si>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</si>
  <si>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</si>
  <si>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</si>
  <si>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</si>
  <si>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</si>
  <si>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</si>
  <si>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</si>
  <si>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</si>
  <si>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</si>
  <si>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</si>
  <si>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</si>
  <si>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</si>
  <si>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</si>
  <si>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</si>
  <si>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</si>
  <si>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</si>
  <si>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</si>
  <si>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</si>
  <si>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</si>
  <si>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</si>
  <si>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</si>
  <si>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</si>
  <si>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</si>
  <si>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</si>
  <si>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</si>
  <si>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</si>
  <si>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</si>
  <si>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</si>
  <si>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</si>
  <si>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</si>
  <si>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</si>
  <si>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</si>
  <si>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</si>
  <si>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</si>
  <si>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</si>
  <si>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</si>
  <si>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</si>
  <si>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</si>
  <si>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</si>
  <si>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</si>
  <si>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</si>
  <si>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</si>
  <si>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</si>
  <si>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</si>
  <si>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</si>
  <si>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</si>
  <si>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</si>
  <si>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</si>
  <si>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</si>
  <si>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</si>
  <si>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</si>
  <si>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</si>
  <si>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</si>
  <si>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</si>
  <si>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</si>
  <si>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</si>
  <si>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</si>
  <si>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</si>
  <si>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</si>
  <si>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</si>
  <si>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</si>
  <si>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</si>
  <si>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</si>
  <si>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</si>
  <si>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</si>
  <si>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</si>
  <si>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</si>
  <si>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</si>
  <si>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</si>
  <si>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</si>
  <si>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</si>
  <si>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</si>
  <si>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</si>
  <si>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</si>
  <si>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</si>
  <si>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</si>
  <si>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</si>
  <si>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</si>
  <si>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</si>
  <si>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</si>
  <si>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</si>
  <si>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</si>
  <si>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</si>
  <si>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</si>
  <si>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</si>
  <si>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</si>
  <si>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</si>
  <si>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</si>
  <si>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</si>
  <si>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</si>
  <si>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</si>
  <si>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</si>
  <si>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</si>
  <si>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</si>
  <si>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</si>
  <si>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</si>
  <si>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</si>
  <si>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</si>
  <si>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</si>
  <si>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</si>
  <si>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</si>
  <si>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</si>
  <si>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</si>
  <si>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</si>
  <si>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</si>
  <si>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</si>
  <si>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</si>
  <si>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</si>
  <si>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</si>
  <si>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</si>
  <si>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</si>
  <si>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</si>
  <si>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</si>
  <si>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</si>
  <si>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</si>
  <si>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</si>
  <si>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</si>
  <si>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</si>
  <si>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</si>
  <si>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</si>
  <si>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</si>
  <si>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</si>
  <si>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</si>
  <si>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</si>
  <si>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</si>
  <si>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</si>
  <si>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</si>
  <si>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</si>
  <si>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</si>
  <si>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</si>
  <si>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</si>
  <si>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</si>
  <si>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</si>
  <si>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</si>
  <si>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</si>
  <si>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</si>
  <si>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</si>
  <si>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</si>
  <si>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</si>
  <si>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</si>
  <si>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</si>
  <si>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</si>
  <si>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</si>
  <si>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</si>
  <si>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</si>
  <si>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</si>
  <si>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</si>
  <si>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</si>
  <si>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</si>
  <si>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</si>
  <si>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</si>
  <si>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</si>
  <si>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</si>
  <si>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</si>
  <si>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</si>
  <si>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</si>
  <si>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</si>
  <si>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</si>
  <si>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</si>
  <si>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</si>
  <si>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</si>
  <si>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</si>
  <si>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</si>
  <si>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</si>
  <si>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</si>
  <si>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</si>
  <si>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</si>
  <si>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</si>
  <si>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</si>
  <si>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</si>
  <si>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</si>
  <si>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</si>
  <si>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</si>
  <si>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</si>
  <si>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</si>
  <si>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</si>
  <si>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</si>
  <si>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</si>
  <si>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</si>
  <si>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</si>
  <si>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</si>
  <si>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</si>
  <si>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</si>
  <si>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</si>
  <si>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</si>
  <si>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</si>
  <si>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</si>
  <si>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</si>
  <si>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</si>
  <si>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</si>
  <si>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</si>
  <si>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</si>
  <si>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</si>
  <si>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</si>
  <si>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</si>
  <si>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</si>
  <si>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</si>
  <si>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</si>
  <si>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</si>
  <si>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</si>
  <si>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</si>
  <si>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</si>
  <si>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</si>
  <si>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</si>
  <si>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</si>
  <si>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</si>
  <si>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</si>
  <si>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</si>
  <si>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</si>
  <si>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</si>
  <si>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</si>
  <si>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</si>
  <si>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</si>
  <si>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</si>
  <si>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</si>
  <si>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</si>
  <si>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</si>
  <si>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</si>
  <si>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</si>
  <si>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</si>
  <si>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</si>
  <si>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</si>
  <si>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</si>
  <si>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</si>
  <si>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</si>
  <si>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</si>
  <si>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</si>
  <si>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</si>
  <si>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</si>
  <si>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</si>
  <si>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</si>
  <si>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</si>
  <si>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</si>
  <si>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</si>
  <si>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</si>
  <si>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</si>
  <si>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</si>
  <si>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</si>
  <si>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</si>
  <si>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</si>
  <si>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</si>
  <si>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</si>
  <si>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</si>
  <si>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</si>
  <si>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</si>
  <si>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</si>
  <si>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</si>
  <si>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</si>
  <si>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</si>
  <si>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</si>
  <si>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</si>
  <si>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</si>
  <si>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</si>
  <si>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</si>
  <si>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</si>
  <si>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</si>
  <si>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</si>
  <si>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</si>
  <si>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</si>
  <si>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</si>
  <si>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</si>
  <si>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</si>
  <si>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</si>
  <si>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</si>
  <si>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</si>
  <si>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</si>
  <si>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</si>
  <si>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</si>
  <si>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</si>
  <si>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</si>
  <si>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</si>
  <si>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</si>
  <si>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</si>
  <si>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</si>
  <si>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</si>
  <si>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</si>
  <si>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</si>
  <si>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</si>
  <si>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</si>
  <si>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</si>
  <si>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</si>
  <si>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</si>
  <si>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</si>
  <si>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</si>
  <si>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</si>
  <si>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</si>
  <si>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</si>
  <si>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</si>
  <si>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</si>
  <si>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</si>
  <si>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</si>
  <si>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</si>
  <si>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</si>
  <si>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</si>
  <si>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</si>
  <si>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</si>
  <si>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</si>
  <si>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</si>
  <si>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</si>
  <si>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</si>
  <si>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</si>
  <si>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</si>
  <si>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</si>
  <si>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</si>
  <si>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</si>
  <si>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</si>
  <si>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</si>
  <si>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</si>
  <si>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</si>
  <si>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</si>
  <si>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</si>
  <si>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</si>
  <si>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</si>
  <si>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</si>
  <si>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</si>
  <si>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</si>
  <si>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</si>
  <si>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</si>
  <si>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</si>
  <si>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</si>
  <si>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</si>
  <si>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</si>
  <si>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</si>
  <si>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</si>
  <si>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</si>
  <si>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</si>
  <si>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</si>
  <si>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</si>
  <si>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</si>
  <si>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</si>
  <si>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</si>
  <si>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</si>
  <si>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</si>
  <si>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</si>
  <si>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</si>
  <si>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</si>
  <si>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</si>
  <si>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</si>
  <si>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</si>
  <si>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</si>
  <si>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</si>
  <si>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</si>
  <si>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</si>
  <si>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</si>
  <si>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</si>
  <si>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</si>
  <si>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</si>
  <si>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</si>
  <si>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</si>
  <si>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</si>
  <si>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</si>
  <si>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</si>
  <si>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</si>
  <si>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</si>
  <si>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</si>
  <si>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</si>
  <si>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</si>
  <si>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</si>
  <si>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</si>
  <si>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</si>
  <si>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</si>
  <si>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</si>
  <si>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</si>
  <si>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</si>
  <si>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</si>
  <si>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</si>
  <si>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</si>
  <si>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</si>
  <si>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</si>
  <si>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</si>
  <si>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</si>
  <si>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</si>
  <si>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</si>
  <si>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</si>
  <si>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</si>
  <si>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</si>
  <si>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</si>
  <si>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</si>
  <si>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</si>
  <si>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</si>
  <si>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</si>
  <si>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</si>
  <si>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</si>
  <si>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</si>
  <si>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</si>
  <si>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</si>
  <si>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</si>
  <si>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</si>
  <si>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</si>
  <si>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</si>
  <si>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</si>
  <si>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</si>
  <si>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</si>
  <si>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</si>
  <si>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</si>
  <si>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</si>
  <si>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</si>
  <si>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</si>
  <si>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</si>
  <si>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</si>
  <si>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</si>
  <si>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</si>
  <si>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</si>
  <si>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</si>
  <si>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</si>
  <si>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</si>
  <si>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</si>
  <si>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</si>
  <si>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</si>
  <si>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</si>
  <si>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</si>
  <si>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</si>
  <si>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</si>
  <si>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</si>
  <si>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</si>
  <si>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</si>
  <si>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</si>
  <si>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</si>
  <si>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</si>
  <si>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</si>
  <si>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</si>
  <si>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</si>
  <si>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</si>
  <si>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</si>
  <si>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</si>
  <si>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</si>
  <si>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</si>
  <si>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</si>
  <si>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</si>
  <si>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</si>
  <si>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</si>
  <si>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</si>
  <si>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</si>
  <si>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</si>
  <si>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</si>
  <si>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</si>
  <si>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</si>
  <si>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</si>
  <si>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</si>
  <si>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</si>
  <si>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</si>
  <si>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</si>
  <si>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</si>
  <si>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</si>
  <si>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</si>
  <si>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</si>
  <si>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</si>
  <si>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</si>
  <si>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</si>
  <si>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</si>
  <si>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</si>
  <si>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</si>
  <si>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</si>
  <si>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</si>
  <si>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</si>
  <si>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</si>
  <si>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</si>
  <si>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</si>
  <si>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</si>
  <si>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</si>
  <si>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</si>
  <si>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</si>
  <si>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</si>
  <si>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</si>
  <si>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</si>
  <si>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</si>
  <si>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</si>
  <si>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</si>
  <si>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</si>
  <si>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</si>
  <si>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</si>
  <si>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</si>
  <si>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</si>
  <si>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</si>
  <si>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</si>
  <si>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</si>
  <si>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</si>
  <si>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</si>
  <si>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</si>
  <si>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</si>
  <si>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</si>
  <si>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</si>
  <si>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</si>
  <si>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</si>
  <si>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</si>
  <si>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</si>
  <si>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</si>
  <si>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</si>
  <si>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</si>
  <si>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</si>
  <si>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</si>
  <si>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</si>
  <si>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</si>
  <si>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</si>
  <si>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</si>
  <si>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</si>
  <si>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</si>
  <si>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</si>
  <si>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</si>
  <si>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</si>
  <si>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</si>
  <si>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</si>
  <si>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</si>
  <si>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</si>
  <si>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</si>
  <si>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</si>
  <si>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</si>
  <si>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</si>
  <si>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</si>
  <si>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</si>
  <si>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</si>
  <si>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</si>
  <si>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</si>
  <si>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</si>
  <si>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</si>
  <si>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</si>
  <si>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</si>
  <si>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</si>
  <si>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</si>
  <si>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</si>
  <si>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</si>
  <si>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</si>
  <si>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</si>
  <si>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</si>
  <si>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</si>
  <si>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</si>
  <si>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</si>
  <si>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</si>
  <si>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</si>
  <si>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</si>
  <si>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</si>
  <si>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</si>
  <si>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</si>
  <si>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</si>
  <si>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</si>
  <si>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</si>
  <si>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</si>
  <si>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</si>
  <si>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</si>
  <si>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</si>
  <si>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</si>
  <si>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</si>
  <si>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</si>
  <si>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</si>
  <si>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</si>
  <si>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</si>
  <si>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</si>
  <si>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</si>
  <si>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</si>
  <si>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</si>
  <si>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</si>
  <si>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</si>
  <si>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</si>
  <si>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</si>
  <si>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</si>
  <si>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</si>
  <si>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</si>
  <si>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</si>
  <si>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</si>
  <si>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</si>
  <si>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</si>
  <si>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</si>
  <si>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</si>
  <si>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</si>
  <si>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</si>
  <si>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</si>
  <si>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</si>
  <si>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</si>
  <si>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</si>
  <si>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</si>
  <si>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</si>
  <si>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</si>
  <si>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</si>
  <si>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</si>
  <si>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</si>
  <si>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</si>
  <si>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</si>
  <si>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</si>
  <si>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</si>
  <si>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</si>
  <si>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</si>
  <si>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</si>
  <si>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</si>
  <si>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</si>
  <si>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</si>
  <si>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</si>
  <si>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</si>
  <si>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</si>
  <si>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</si>
  <si>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</si>
  <si>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</si>
  <si>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</si>
  <si>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</si>
  <si>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</si>
  <si>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</si>
  <si>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</si>
  <si>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</si>
  <si>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</si>
  <si>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</si>
  <si>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</si>
  <si>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</si>
  <si>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</si>
  <si>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</si>
  <si>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</si>
  <si>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</si>
  <si>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</si>
  <si>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</si>
  <si>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</si>
  <si>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</si>
  <si>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</si>
  <si>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</si>
  <si>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</si>
  <si>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</si>
  <si>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</si>
  <si>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</si>
  <si>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</si>
  <si>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</si>
  <si>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</si>
  <si>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</si>
  <si>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</si>
  <si>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</si>
  <si>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</si>
  <si>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</si>
  <si>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</si>
  <si>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</si>
  <si>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</si>
  <si>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</si>
  <si>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</si>
  <si>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</si>
  <si>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</si>
  <si>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</si>
  <si>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</si>
  <si>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</si>
  <si>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</si>
  <si>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</si>
  <si>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</si>
  <si>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</si>
  <si>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</si>
  <si>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</si>
  <si>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</si>
  <si>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</si>
  <si>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</si>
  <si>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</si>
  <si>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</si>
  <si>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</si>
  <si>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</si>
  <si>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</si>
  <si>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</si>
  <si>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</si>
  <si>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</si>
  <si>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</si>
  <si>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</si>
  <si>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</si>
  <si>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</si>
  <si>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</si>
  <si>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</si>
  <si>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</si>
  <si>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</si>
  <si>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</si>
  <si>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</si>
  <si>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</si>
  <si>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</si>
  <si>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</si>
  <si>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</si>
  <si>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</si>
  <si>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</si>
  <si>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</si>
  <si>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</si>
  <si>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</si>
  <si>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</si>
  <si>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</si>
  <si>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</si>
  <si>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</si>
  <si>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</si>
  <si>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</si>
  <si>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</si>
  <si>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</si>
  <si>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</si>
  <si>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</si>
  <si>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</si>
  <si>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</si>
  <si>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</si>
  <si>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</si>
  <si>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</si>
  <si>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</si>
  <si>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</si>
  <si>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</si>
  <si>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</si>
  <si>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</si>
  <si>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</si>
  <si>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</si>
  <si>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</si>
  <si>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</si>
  <si>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</si>
  <si>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</si>
  <si>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</si>
  <si>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</si>
  <si>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</si>
  <si>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</si>
  <si>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</si>
  <si>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</si>
  <si>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</si>
  <si>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</si>
  <si>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</si>
  <si>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</si>
  <si>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</si>
  <si>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</si>
  <si>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</si>
  <si>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</si>
  <si>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</si>
  <si>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</si>
  <si>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</si>
  <si>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</si>
  <si>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</si>
  <si>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</si>
  <si>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</si>
  <si>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</si>
  <si>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</si>
  <si>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</si>
  <si>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</si>
  <si>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</si>
  <si>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</si>
  <si>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</si>
  <si>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</si>
  <si>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</si>
  <si>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</si>
  <si>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</si>
  <si>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</si>
  <si>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</si>
  <si>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</si>
  <si>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</si>
  <si>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</si>
  <si>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</si>
  <si>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</si>
  <si>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</si>
  <si>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</si>
  <si>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</si>
  <si>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</si>
  <si>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</si>
  <si>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</si>
  <si>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</si>
  <si>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</si>
  <si>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</si>
  <si>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</si>
  <si>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</si>
  <si>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</si>
  <si>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</si>
  <si>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</si>
  <si>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</si>
  <si>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</si>
  <si>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</si>
  <si>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</si>
  <si>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</si>
  <si>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</si>
  <si>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</si>
  <si>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</si>
  <si>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</si>
  <si>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</si>
  <si>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</si>
  <si>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</si>
  <si>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</si>
  <si>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</si>
  <si>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</si>
  <si>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</si>
  <si>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</si>
  <si>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</si>
  <si>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</si>
  <si>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</si>
  <si>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</si>
  <si>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</si>
  <si>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</si>
  <si>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</si>
  <si>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</si>
  <si>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</si>
  <si>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</si>
  <si>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</si>
  <si>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</si>
  <si>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</si>
  <si>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</si>
  <si>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</si>
  <si>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</si>
  <si>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</si>
  <si>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</si>
  <si>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</si>
  <si>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</si>
  <si>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</si>
  <si>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</si>
  <si>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</si>
  <si>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</si>
  <si>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</si>
  <si>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</si>
  <si>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</si>
  <si>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</si>
  <si>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</si>
  <si>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</si>
  <si>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</si>
  <si>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</si>
  <si>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</si>
  <si>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</si>
  <si>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</si>
  <si>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</si>
  <si>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</si>
  <si>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</si>
  <si>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</si>
  <si>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</si>
  <si>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</si>
  <si>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</si>
  <si>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</si>
  <si>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</si>
  <si>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</si>
  <si>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</si>
  <si>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</si>
  <si>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</si>
  <si>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</si>
  <si>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</si>
  <si>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</si>
  <si>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</si>
  <si>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</si>
  <si>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</si>
  <si>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</si>
  <si>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</si>
  <si>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</si>
  <si>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</si>
  <si>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</si>
  <si>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</si>
  <si>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</si>
  <si>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</si>
  <si>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</si>
  <si>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</si>
  <si>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</si>
  <si>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</si>
  <si>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</si>
  <si>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</si>
  <si>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</si>
  <si>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</si>
  <si>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</si>
  <si>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</si>
  <si>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</si>
  <si>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</si>
  <si>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</si>
  <si>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</si>
  <si>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</si>
  <si>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</si>
  <si>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</si>
  <si>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</si>
  <si>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</si>
  <si>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</si>
  <si>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</si>
  <si>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</si>
  <si>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</si>
  <si>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</si>
  <si>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</si>
  <si>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</si>
  <si>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</si>
  <si>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</si>
  <si>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</si>
  <si>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</si>
  <si>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</si>
  <si>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</si>
  <si>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</si>
  <si>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</si>
  <si>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</si>
  <si>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</si>
  <si>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</si>
  <si>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</si>
  <si>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</si>
  <si>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</si>
  <si>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</si>
  <si>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</si>
  <si>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</si>
  <si>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</si>
  <si>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</si>
  <si>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</si>
  <si>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</si>
  <si>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</si>
  <si>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</si>
  <si>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</si>
  <si>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</si>
  <si>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</si>
  <si>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</si>
  <si>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</si>
  <si>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</si>
  <si>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</si>
  <si>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</si>
  <si>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</si>
  <si>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</si>
  <si>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</si>
  <si>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</si>
  <si>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</si>
  <si>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</si>
  <si>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</si>
  <si>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</si>
  <si>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</si>
  <si>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</si>
  <si>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</si>
  <si>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</si>
  <si>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</si>
  <si>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</si>
  <si>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</si>
  <si>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</si>
  <si>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</si>
  <si>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</si>
  <si>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</si>
  <si>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</si>
  <si>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</si>
  <si>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</si>
  <si>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</si>
  <si>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</si>
  <si>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</si>
  <si>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</si>
  <si>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</si>
  <si>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</si>
  <si>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</si>
  <si>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</si>
  <si>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</si>
  <si>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</si>
  <si>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</si>
  <si>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</si>
  <si>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</si>
  <si>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</si>
  <si>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</si>
  <si>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</si>
  <si>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</si>
  <si>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</si>
  <si>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</si>
  <si>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</si>
  <si>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</si>
  <si>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</si>
  <si>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</si>
  <si>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</si>
  <si>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</si>
  <si>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</si>
  <si>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</si>
  <si>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</si>
  <si>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</si>
  <si>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</si>
  <si>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</si>
  <si>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</si>
  <si>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</si>
  <si>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</si>
  <si>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</si>
  <si>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</si>
  <si>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</si>
  <si>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</si>
  <si>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</si>
  <si>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</si>
  <si>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</si>
  <si>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</si>
  <si>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</si>
  <si>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</si>
  <si>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</si>
  <si>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</si>
  <si>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</si>
  <si>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</si>
  <si>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</si>
  <si>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</si>
  <si>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</si>
  <si>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</si>
  <si>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</si>
  <si>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</si>
  <si>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</si>
  <si>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</si>
  <si>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</si>
  <si>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</si>
  <si>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</si>
  <si>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</si>
  <si>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</si>
  <si>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</si>
  <si>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</si>
  <si>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</si>
  <si>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</si>
  <si>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</si>
  <si>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</si>
  <si>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</si>
  <si>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</si>
  <si>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</si>
  <si>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</si>
  <si>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</si>
  <si>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</si>
  <si>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</si>
  <si>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</si>
  <si>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</si>
  <si>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</si>
  <si>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</si>
  <si>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</si>
  <si>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</si>
  <si>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</si>
  <si>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</si>
  <si>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</si>
  <si>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</si>
  <si>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</si>
  <si>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</si>
  <si>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</si>
  <si>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</si>
  <si>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</si>
  <si>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</si>
  <si>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</si>
  <si>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</si>
  <si>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</si>
  <si>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</si>
  <si>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</si>
  <si>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</si>
  <si>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</si>
  <si>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</si>
  <si>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</si>
  <si>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</si>
  <si>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</si>
  <si>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</si>
  <si>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</si>
  <si>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</si>
  <si>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</si>
  <si>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</si>
  <si>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</si>
  <si>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</si>
  <si>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</si>
  <si>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</si>
  <si>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</si>
  <si>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</si>
  <si>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</si>
  <si>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</si>
  <si>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</si>
  <si>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</si>
  <si>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</si>
  <si>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</si>
  <si>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</si>
  <si>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</si>
  <si>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</si>
  <si>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</si>
  <si>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</si>
  <si>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</si>
  <si>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</si>
  <si>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</si>
  <si>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</si>
  <si>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</si>
  <si>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</si>
  <si>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</si>
  <si>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</si>
  <si>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</si>
  <si>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</si>
  <si>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</si>
  <si>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</si>
  <si>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</si>
  <si>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</si>
  <si>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</si>
  <si>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</si>
  <si>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</si>
  <si>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</si>
  <si>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</si>
  <si>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</si>
  <si>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</si>
  <si>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</si>
  <si>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</si>
  <si>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</si>
  <si>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</si>
  <si>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</si>
  <si>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</si>
  <si>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</si>
  <si>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</si>
  <si>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</si>
  <si>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</si>
  <si>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</si>
  <si>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</si>
  <si>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</si>
  <si>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</si>
  <si>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</si>
  <si>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</si>
  <si>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</si>
  <si>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</si>
  <si>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</si>
  <si>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</si>
  <si>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</si>
  <si>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</si>
  <si>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</si>
  <si>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</si>
  <si>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</si>
  <si>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</si>
  <si>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</si>
  <si>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</si>
  <si>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</si>
  <si>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</si>
  <si>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</si>
  <si>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</si>
  <si>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</si>
  <si>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</si>
  <si>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</si>
  <si>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</si>
  <si>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</si>
  <si>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</si>
  <si>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</si>
  <si>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</si>
  <si>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</si>
  <si>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</si>
  <si>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</si>
  <si>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</si>
  <si>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</si>
  <si>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</si>
  <si>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</si>
  <si>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</si>
  <si>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</si>
  <si>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</si>
  <si>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</si>
  <si>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</si>
  <si>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</si>
  <si>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</si>
  <si>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</si>
  <si>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</si>
  <si>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</si>
  <si>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</si>
  <si>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</si>
  <si>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</si>
  <si>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</si>
  <si>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</si>
  <si>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</si>
  <si>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</si>
  <si>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</si>
  <si>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</si>
  <si>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</si>
  <si>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</si>
  <si>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</si>
  <si>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</si>
  <si>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</si>
  <si>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</si>
  <si>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</si>
  <si>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</si>
  <si>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</si>
  <si>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</si>
  <si>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</si>
  <si>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</si>
  <si>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</si>
  <si>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</si>
  <si>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</si>
  <si>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</si>
  <si>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</si>
  <si>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</si>
  <si>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</si>
  <si>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</si>
  <si>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</si>
  <si>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</si>
  <si>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</si>
  <si>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</si>
  <si>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</si>
  <si>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</si>
  <si>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</si>
  <si>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</si>
  <si>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</si>
  <si>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</si>
  <si>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</si>
  <si>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</si>
  <si>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</si>
  <si>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</si>
  <si>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</si>
  <si>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</si>
  <si>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</si>
  <si>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</si>
  <si>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</si>
  <si>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</si>
  <si>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</si>
  <si>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</si>
  <si>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</si>
  <si>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</si>
  <si>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</si>
  <si>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</si>
  <si>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</si>
  <si>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</si>
  <si>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</si>
  <si>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</si>
  <si>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</si>
  <si>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</si>
  <si>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</si>
  <si>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</si>
  <si>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</si>
  <si>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</si>
  <si>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</si>
  <si>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</si>
  <si>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</si>
  <si>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</si>
  <si>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</si>
  <si>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</si>
  <si>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</si>
  <si>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</si>
  <si>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</si>
  <si>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</si>
  <si>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</si>
  <si>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</si>
  <si>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</si>
  <si>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</si>
  <si>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</si>
  <si>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</si>
  <si>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</si>
  <si>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</si>
  <si>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</si>
  <si>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</si>
  <si>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</si>
  <si>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</si>
  <si>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</si>
  <si>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</si>
  <si>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</si>
  <si>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</si>
  <si>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</si>
  <si>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</si>
  <si>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</si>
  <si>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</si>
  <si>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</si>
  <si>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</si>
  <si>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</si>
  <si>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</si>
  <si>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</si>
  <si>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</si>
  <si>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</si>
  <si>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</si>
  <si>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</si>
  <si>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</si>
  <si>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</si>
  <si>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</si>
  <si>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</si>
  <si>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</si>
  <si>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</si>
  <si>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</si>
  <si>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</si>
  <si>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</si>
  <si>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</si>
  <si>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</si>
  <si>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</si>
  <si>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</si>
  <si>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</si>
  <si>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</si>
  <si>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</si>
  <si>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</si>
  <si>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</si>
  <si>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</si>
  <si>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</si>
  <si>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</si>
  <si>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</si>
  <si>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</si>
  <si>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</si>
  <si>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</si>
  <si>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</si>
  <si>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</si>
  <si>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</si>
  <si>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</si>
  <si>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</si>
  <si>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</si>
  <si>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</si>
  <si>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</si>
  <si>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</si>
  <si>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</si>
  <si>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</si>
  <si>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</si>
  <si>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</si>
  <si>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</si>
  <si>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</si>
  <si>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</si>
  <si>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</si>
  <si>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</si>
  <si>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</si>
  <si>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</si>
  <si>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</si>
  <si>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</si>
  <si>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</si>
  <si>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</si>
  <si>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</si>
  <si>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</si>
  <si>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</si>
  <si>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</si>
  <si>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</si>
  <si>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</si>
  <si>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</si>
  <si>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</si>
  <si>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</si>
  <si>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</si>
  <si>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</si>
  <si>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</si>
  <si>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</si>
  <si>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</si>
  <si>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</si>
  <si>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</si>
  <si>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</si>
  <si>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</si>
  <si>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</si>
  <si>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</si>
  <si>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</si>
  <si>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</si>
  <si>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</si>
  <si>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</si>
  <si>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</si>
  <si>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</si>
  <si>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</si>
  <si>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</si>
  <si>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</si>
  <si>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</si>
  <si>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</si>
  <si>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</si>
  <si>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</si>
  <si>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</si>
  <si>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</si>
  <si>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</si>
  <si>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</si>
  <si>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</si>
  <si>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</si>
  <si>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</si>
  <si>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</si>
  <si>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</si>
  <si>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</si>
  <si>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</si>
  <si>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</si>
  <si>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</si>
  <si>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</si>
  <si>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</si>
  <si>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</si>
  <si>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</si>
  <si>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</si>
  <si>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</si>
  <si>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</si>
  <si>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</si>
  <si>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</si>
  <si>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</si>
  <si>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</si>
  <si>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</si>
  <si>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</si>
  <si>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</si>
  <si>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</si>
  <si>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</si>
  <si>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</si>
  <si>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</si>
  <si>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</si>
  <si>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</si>
  <si>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</si>
  <si>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</si>
  <si>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</si>
  <si>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</si>
  <si>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</si>
  <si>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</si>
  <si>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</si>
  <si>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</si>
  <si>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</si>
  <si>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</si>
  <si>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</si>
  <si>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</si>
  <si>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</si>
  <si>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</si>
  <si>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</si>
  <si>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</si>
  <si>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</si>
  <si>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</si>
  <si>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</si>
  <si>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</si>
  <si>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</si>
  <si>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</si>
  <si>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</si>
  <si>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</si>
  <si>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</si>
  <si>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</si>
  <si>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</si>
  <si>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</si>
  <si>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</si>
  <si>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</si>
  <si>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</si>
  <si>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</si>
  <si>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</si>
  <si>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</si>
  <si>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</si>
  <si>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</si>
  <si>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</si>
  <si>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</si>
  <si>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</si>
  <si>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</si>
  <si>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</si>
  <si>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</si>
  <si>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</si>
  <si>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</si>
  <si>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</si>
  <si>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</si>
  <si>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</si>
  <si>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</si>
  <si>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</si>
  <si>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</si>
  <si>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</si>
  <si>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</si>
  <si>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</si>
  <si>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</si>
  <si>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</si>
  <si>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</si>
  <si>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</si>
  <si>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</si>
  <si>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</si>
  <si>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</si>
  <si>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</si>
  <si>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</si>
  <si>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</si>
  <si>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</si>
  <si>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</si>
  <si>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</si>
  <si>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</si>
  <si>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</si>
  <si>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</si>
  <si>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</si>
  <si>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</si>
  <si>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</si>
  <si>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</si>
  <si>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</si>
  <si>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</si>
  <si>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</si>
  <si>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</si>
  <si>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</si>
  <si>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</si>
  <si>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</si>
  <si>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</si>
  <si>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</si>
  <si>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</si>
  <si>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</si>
  <si>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</si>
  <si>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</si>
  <si>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</si>
  <si>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</si>
  <si>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</si>
  <si>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</si>
  <si>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</si>
  <si>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</si>
  <si>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</si>
  <si>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</si>
  <si>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</si>
  <si>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</si>
  <si>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</si>
  <si>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</si>
  <si>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</si>
  <si>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</si>
  <si>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</si>
  <si>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</si>
  <si>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</si>
  <si>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</si>
  <si>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</si>
  <si>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</si>
  <si>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</si>
  <si>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</si>
  <si>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</si>
  <si>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</si>
  <si>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</si>
  <si>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</si>
  <si>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</si>
  <si>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</si>
  <si>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</si>
  <si>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</si>
  <si>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</si>
  <si>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</si>
  <si>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</si>
  <si>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</si>
  <si>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</si>
  <si>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</si>
  <si>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</si>
  <si>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</si>
  <si>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</si>
  <si>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</si>
  <si>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</si>
  <si>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</si>
  <si>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</si>
  <si>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</si>
  <si>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</si>
  <si>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</si>
  <si>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</si>
  <si>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</si>
  <si>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</si>
  <si>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</si>
  <si>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</si>
  <si>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</si>
  <si>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</si>
  <si>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</si>
  <si>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</si>
  <si>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</si>
  <si>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</si>
  <si>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</si>
  <si>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</si>
  <si>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</si>
  <si>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</si>
  <si>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</si>
  <si>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</si>
  <si>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</si>
  <si>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</si>
  <si>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</si>
  <si>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</si>
  <si>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</si>
  <si>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</si>
  <si>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</si>
  <si>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</si>
  <si>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</si>
  <si>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</si>
  <si>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</si>
  <si>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</si>
  <si>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</si>
  <si>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</si>
  <si>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</si>
  <si>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</si>
  <si>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</si>
  <si>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</si>
  <si>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</si>
  <si>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</si>
  <si>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</si>
  <si>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</si>
  <si>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</si>
  <si>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</si>
  <si>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</si>
  <si>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</si>
  <si>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</si>
  <si>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</si>
  <si>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</si>
  <si>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</si>
  <si>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</si>
  <si>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</si>
  <si>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</si>
  <si>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</si>
  <si>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</si>
  <si>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</si>
  <si>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</si>
  <si>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</si>
  <si>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</si>
  <si>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</si>
  <si>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</si>
  <si>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</si>
  <si>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</si>
  <si>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</si>
  <si>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</si>
  <si>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</si>
  <si>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</si>
  <si>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</si>
  <si>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</si>
  <si>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</si>
  <si>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</si>
  <si>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</si>
  <si>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</si>
  <si>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</si>
  <si>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</si>
  <si>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</si>
  <si>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</si>
  <si>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</si>
  <si>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</si>
  <si>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</si>
  <si>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</si>
  <si>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</si>
  <si>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</si>
  <si>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</si>
  <si>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</si>
  <si>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</si>
  <si>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</si>
  <si>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</si>
  <si>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</si>
  <si>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</si>
  <si>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</si>
  <si>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</si>
  <si>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</si>
  <si>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</si>
  <si>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</si>
  <si>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</si>
  <si>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</si>
  <si>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</si>
  <si>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</si>
  <si>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</si>
  <si>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</si>
  <si>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</si>
  <si>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</si>
  <si>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</si>
  <si>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</si>
  <si>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</si>
  <si>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</si>
  <si>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</si>
  <si>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</si>
  <si>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</si>
  <si>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</si>
  <si>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</si>
  <si>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</si>
  <si>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</si>
  <si>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</si>
  <si>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</si>
  <si>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</si>
  <si>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</si>
  <si>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</si>
  <si>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</si>
  <si>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</si>
  <si>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</si>
  <si>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</si>
  <si>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</si>
  <si>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</si>
  <si>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</si>
  <si>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</si>
  <si>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</si>
  <si>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</si>
  <si>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</si>
  <si>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</si>
  <si>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</si>
  <si>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</si>
  <si>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</si>
  <si>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</si>
  <si>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</si>
  <si>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</si>
  <si>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</si>
  <si>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</si>
  <si>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</si>
  <si>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</si>
  <si>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</si>
  <si>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</si>
  <si>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</si>
  <si>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</si>
  <si>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</si>
  <si>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</si>
  <si>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</si>
  <si>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</si>
  <si>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</si>
  <si>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</si>
  <si>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</si>
  <si>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</si>
  <si>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</si>
  <si>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</si>
  <si>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</si>
  <si>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</si>
  <si>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</si>
  <si>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</si>
  <si>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</si>
  <si>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</si>
  <si>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</si>
  <si>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</si>
  <si>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</si>
  <si>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</si>
  <si>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</si>
  <si>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</si>
  <si>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</si>
  <si>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</si>
  <si>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</si>
  <si>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</si>
  <si>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</si>
  <si>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</si>
  <si>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</si>
  <si>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</si>
  <si>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</si>
  <si>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</si>
  <si>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</si>
  <si>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</si>
  <si>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</si>
  <si>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</si>
  <si>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</si>
  <si>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</si>
  <si>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</si>
  <si>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</si>
  <si>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</si>
  <si>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</si>
  <si>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</si>
  <si>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</si>
  <si>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</si>
  <si>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</si>
  <si>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</si>
  <si>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</si>
  <si>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</si>
  <si>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</si>
  <si>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</si>
  <si>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</si>
  <si>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</si>
  <si>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</si>
  <si>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</si>
  <si>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</si>
  <si>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</si>
  <si>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</si>
  <si>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</si>
  <si>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</si>
  <si>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</si>
  <si>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</si>
  <si>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</si>
  <si>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</si>
  <si>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</si>
  <si>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</si>
  <si>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</si>
  <si>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</si>
  <si>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</si>
  <si>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</si>
  <si>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</si>
  <si>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</si>
  <si>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</si>
  <si>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</si>
  <si>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</si>
  <si>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</si>
  <si>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</si>
  <si>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</si>
  <si>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</si>
  <si>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</si>
  <si>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</si>
  <si>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</si>
  <si>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</si>
  <si>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</si>
  <si>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</si>
  <si>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</si>
  <si>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</si>
  <si>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</si>
  <si>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</si>
  <si>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</si>
  <si>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</si>
  <si>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</si>
  <si>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</si>
  <si>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</si>
  <si>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</si>
  <si>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</si>
  <si>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</si>
  <si>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</si>
  <si>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</si>
  <si>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</si>
  <si>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</si>
  <si>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</si>
  <si>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</si>
  <si>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</si>
  <si>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</si>
  <si>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</si>
  <si>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</si>
  <si>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</si>
  <si>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</si>
  <si>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</si>
  <si>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</si>
  <si>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</si>
  <si>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</si>
  <si>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</si>
  <si>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</si>
  <si>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</si>
  <si>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</si>
  <si>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</si>
  <si>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</si>
  <si>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</si>
  <si>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</si>
  <si>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</si>
  <si>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</si>
  <si>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</si>
  <si>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</si>
  <si>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</si>
  <si>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</si>
  <si>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</si>
  <si>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</si>
  <si>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</si>
  <si>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</si>
  <si>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</si>
  <si>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</si>
  <si>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</si>
  <si>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</si>
  <si>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</si>
  <si>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</si>
  <si>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</si>
  <si>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</si>
  <si>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</si>
  <si>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</si>
  <si>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</si>
  <si>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</si>
  <si>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</si>
  <si>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</si>
  <si>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</si>
  <si>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</si>
  <si>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</si>
  <si>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</si>
  <si>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</si>
  <si>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</si>
  <si>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</si>
  <si>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</si>
  <si>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</si>
  <si>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</si>
  <si>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</si>
  <si>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</si>
  <si>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</si>
  <si>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</si>
  <si>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</si>
  <si>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</si>
  <si>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</si>
  <si>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</si>
  <si>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</si>
  <si>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</si>
  <si>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</si>
  <si>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</si>
  <si>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</si>
  <si>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</si>
  <si>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</si>
  <si>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</si>
  <si>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</si>
  <si>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</si>
  <si>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</si>
  <si>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</si>
  <si>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</si>
  <si>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</si>
  <si>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</si>
  <si>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</si>
  <si>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</si>
  <si>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</si>
  <si>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</si>
  <si>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</si>
  <si>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</si>
  <si>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</si>
  <si>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</si>
  <si>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</si>
  <si>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</si>
  <si>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</si>
  <si>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</si>
  <si>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</si>
  <si>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</si>
  <si>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</si>
  <si>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</si>
  <si>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</si>
  <si>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</si>
  <si>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</si>
  <si>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</si>
  <si>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</si>
  <si>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</si>
  <si>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</si>
  <si>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</si>
  <si>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</si>
  <si>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</si>
  <si>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</si>
  <si>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</si>
  <si>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</si>
  <si>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</si>
  <si>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</si>
  <si>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</si>
  <si>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</si>
  <si>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</si>
  <si>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</si>
  <si>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</si>
  <si>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</si>
  <si>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</si>
  <si>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</si>
  <si>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</si>
  <si>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</si>
  <si>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</si>
  <si>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</si>
  <si>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</si>
  <si>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</si>
  <si>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</si>
  <si>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</si>
  <si>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</si>
  <si>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</si>
  <si>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</si>
  <si>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</si>
  <si>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</si>
  <si>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</si>
  <si>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</si>
  <si>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</si>
  <si>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</si>
  <si>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</si>
  <si>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</si>
  <si>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</si>
  <si>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</si>
  <si>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</si>
  <si>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</si>
  <si>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</si>
  <si>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</si>
  <si>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</si>
  <si>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</si>
  <si>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</si>
  <si>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</si>
  <si>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</si>
  <si>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</si>
  <si>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</si>
  <si>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</si>
  <si>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</si>
  <si>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</si>
  <si>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</si>
  <si>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</si>
  <si>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</si>
  <si>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</si>
  <si>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</si>
  <si>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</si>
  <si>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</si>
  <si>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</si>
  <si>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</si>
  <si>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</si>
  <si>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</si>
  <si>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</si>
  <si>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</si>
  <si>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</si>
  <si>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</si>
  <si>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</si>
  <si>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</si>
  <si>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</si>
  <si>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</si>
  <si>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</si>
  <si>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</si>
  <si>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</si>
  <si>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</si>
  <si>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</si>
  <si>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</si>
  <si>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</si>
  <si>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</si>
  <si>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</si>
  <si>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</si>
  <si>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</si>
  <si>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</si>
  <si>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</si>
  <si>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</si>
  <si>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</si>
  <si>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</si>
  <si>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</si>
  <si>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</si>
  <si>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</si>
  <si>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</si>
  <si>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</si>
  <si>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</si>
  <si>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</si>
  <si>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</si>
  <si>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</si>
  <si>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</si>
  <si>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</si>
  <si>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</si>
  <si>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</si>
  <si>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</si>
  <si>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</si>
  <si>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</si>
  <si>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</si>
  <si>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</si>
  <si>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</si>
  <si>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</si>
  <si>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</si>
  <si>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</si>
  <si>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</si>
  <si>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</si>
  <si>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</si>
  <si>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</si>
  <si>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</si>
  <si>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</si>
  <si>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</si>
  <si>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</si>
  <si>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</si>
  <si>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</si>
  <si>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</si>
  <si>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</si>
  <si>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</si>
  <si>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</si>
  <si>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</si>
  <si>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</si>
  <si>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</si>
  <si>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</si>
  <si>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</si>
  <si>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</si>
  <si>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</si>
  <si>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</si>
  <si>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</si>
  <si>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</si>
  <si>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</si>
  <si>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</si>
  <si>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</si>
  <si>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</si>
  <si>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</si>
  <si>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</si>
  <si>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</si>
  <si>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</si>
  <si>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</si>
  <si>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</si>
  <si>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</si>
  <si>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</si>
  <si>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</si>
  <si>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</si>
  <si>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</si>
  <si>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</si>
  <si>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</si>
  <si>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</si>
  <si>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</si>
  <si>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</si>
  <si>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</si>
  <si>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</si>
  <si>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</si>
  <si>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</si>
  <si>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</si>
  <si>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</si>
  <si>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</si>
  <si>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</si>
  <si>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</si>
  <si>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</si>
  <si>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</si>
  <si>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</si>
  <si>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</si>
  <si>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</si>
  <si>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</si>
  <si>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</si>
  <si>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</si>
  <si>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</si>
  <si>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</si>
  <si>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</si>
  <si>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</si>
  <si>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</si>
  <si>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</si>
  <si>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</si>
  <si>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</si>
  <si>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</si>
  <si>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</si>
  <si>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</si>
  <si>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</si>
  <si>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</si>
  <si>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</si>
  <si>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</si>
  <si>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</si>
  <si>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</si>
  <si>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</si>
  <si>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</si>
  <si>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</si>
  <si>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</si>
  <si>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</si>
  <si>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</si>
  <si>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</si>
  <si>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</si>
  <si>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</si>
  <si>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</si>
  <si>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</si>
  <si>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</si>
  <si>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</si>
  <si>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</si>
  <si>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</si>
  <si>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</si>
  <si>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</si>
  <si>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</si>
  <si>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</si>
  <si>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</si>
  <si>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</si>
  <si>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</si>
  <si>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</si>
  <si>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</si>
  <si>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</si>
  <si>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</si>
  <si>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</si>
  <si>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</si>
  <si>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</si>
  <si>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</si>
  <si>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</si>
  <si>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</si>
  <si>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</si>
  <si>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</si>
  <si>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</si>
  <si>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</si>
  <si>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</si>
  <si>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</si>
  <si>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</si>
  <si>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</si>
  <si>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</si>
  <si>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</si>
  <si>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</si>
  <si>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</si>
  <si>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</si>
  <si>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</si>
  <si>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</si>
  <si>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</si>
  <si>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</si>
  <si>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</si>
  <si>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</si>
  <si>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</si>
  <si>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</si>
  <si>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</si>
  <si>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</si>
  <si>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</si>
  <si>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</si>
  <si>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</si>
  <si>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</si>
  <si>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</si>
  <si>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</si>
  <si>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</si>
  <si>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</si>
  <si>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</si>
  <si>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</si>
  <si>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</si>
  <si>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</si>
  <si>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</si>
  <si>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</si>
  <si>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</si>
  <si>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</si>
  <si>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</si>
  <si>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</si>
  <si>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</si>
  <si>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</si>
  <si>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</si>
  <si>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</si>
  <si>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</si>
  <si>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</si>
  <si>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</si>
  <si>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</si>
  <si>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</si>
  <si>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</si>
  <si>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</si>
  <si>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</si>
  <si>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</si>
  <si>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</si>
  <si>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</si>
  <si>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</si>
  <si>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</si>
  <si>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</si>
  <si>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</si>
  <si>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</si>
  <si>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</si>
  <si>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</si>
  <si>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</si>
  <si>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</si>
  <si>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</si>
  <si>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</si>
  <si>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</si>
  <si>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</si>
  <si>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</si>
  <si>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</si>
  <si>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</si>
  <si>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</si>
  <si>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</si>
  <si>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</si>
  <si>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</si>
  <si>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</si>
  <si>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</si>
  <si>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</si>
  <si>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</si>
  <si>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</si>
  <si>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</si>
  <si>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</si>
  <si>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</si>
  <si>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</si>
  <si>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</si>
  <si>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</si>
  <si>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</si>
  <si>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</si>
  <si>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</si>
  <si>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</si>
  <si>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</si>
  <si>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</si>
  <si>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</si>
  <si>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</si>
  <si>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</si>
  <si>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</si>
  <si>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</si>
  <si>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</si>
  <si>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</si>
  <si>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</si>
  <si>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</si>
  <si>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</si>
  <si>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</si>
  <si>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</si>
  <si>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</si>
  <si>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</si>
  <si>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</si>
  <si>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</si>
  <si>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</si>
  <si>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</si>
  <si>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</si>
  <si>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</si>
  <si>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</si>
  <si>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</si>
  <si>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</si>
  <si>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</si>
  <si>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</si>
  <si>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</si>
  <si>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</si>
  <si>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</si>
  <si>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</si>
  <si>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</si>
  <si>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</si>
  <si>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</si>
  <si>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</si>
  <si>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</si>
  <si>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</si>
  <si>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</si>
  <si>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</si>
  <si>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</si>
  <si>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</si>
  <si>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</si>
  <si>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</si>
  <si>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</si>
  <si>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</si>
  <si>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</si>
  <si>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</si>
  <si>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</si>
  <si>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</si>
  <si>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</si>
  <si>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</si>
  <si>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</si>
  <si>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</si>
  <si>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</si>
  <si>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</si>
  <si>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</si>
  <si>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</si>
  <si>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</si>
  <si>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</si>
  <si>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</si>
  <si>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</si>
  <si>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</si>
  <si>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</si>
  <si>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</si>
  <si>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</si>
  <si>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</si>
  <si>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</si>
  <si>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</si>
  <si>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</si>
  <si>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</si>
  <si>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</si>
  <si>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</si>
  <si>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</si>
  <si>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</si>
  <si>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</si>
  <si>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</si>
  <si>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</si>
  <si>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</si>
  <si>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</si>
  <si>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</si>
  <si>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</si>
  <si>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</si>
  <si>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</si>
  <si>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</si>
  <si>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</si>
  <si>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</si>
  <si>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</si>
  <si>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</si>
  <si>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</si>
  <si>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</si>
  <si>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</si>
  <si>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</si>
  <si>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</si>
  <si>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</si>
  <si>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</si>
  <si>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</si>
  <si>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</si>
  <si>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</si>
  <si>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</si>
  <si>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</si>
  <si>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</si>
  <si>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</si>
  <si>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</si>
  <si>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</si>
  <si>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</si>
  <si>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</si>
  <si>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</si>
  <si>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</si>
  <si>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</si>
  <si>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</si>
  <si>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</si>
  <si>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</si>
  <si>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</si>
  <si>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</si>
  <si>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</si>
  <si>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</si>
  <si>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</si>
  <si>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</si>
  <si>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</si>
  <si>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</si>
  <si>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</si>
  <si>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</si>
  <si>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</si>
  <si>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</si>
  <si>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</si>
  <si>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</si>
  <si>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</si>
  <si>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</si>
  <si>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</si>
  <si>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</si>
  <si>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</si>
  <si>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</si>
  <si>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</si>
  <si>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</si>
  <si>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</si>
  <si>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</si>
  <si>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</si>
  <si>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</si>
  <si>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</si>
  <si>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</si>
  <si>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</si>
  <si>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</si>
  <si>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</si>
  <si>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</si>
  <si>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</si>
  <si>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</si>
  <si>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</si>
  <si>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</si>
  <si>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</si>
  <si>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</si>
  <si>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</si>
  <si>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</si>
  <si>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</si>
  <si>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</si>
  <si>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</si>
  <si>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</si>
  <si>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</si>
  <si>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</si>
  <si>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</si>
  <si>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</si>
  <si>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</si>
  <si>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</si>
  <si>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</si>
  <si>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</si>
  <si>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</si>
  <si>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</si>
  <si>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</si>
  <si>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</si>
  <si>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</si>
  <si>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</si>
  <si>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</si>
  <si>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</si>
  <si>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</si>
  <si>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</si>
  <si>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</si>
  <si>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</si>
  <si>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</si>
  <si>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</si>
  <si>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</si>
  <si>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</si>
  <si>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</si>
  <si>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</si>
  <si>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</si>
  <si>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</si>
  <si>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</si>
  <si>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</si>
  <si>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</si>
  <si>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</si>
  <si>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</si>
  <si>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</si>
  <si>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</si>
  <si>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</si>
  <si>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</si>
  <si>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</si>
  <si>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</si>
  <si>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</si>
  <si>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</si>
  <si>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</si>
  <si>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</si>
  <si>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</si>
  <si>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</si>
  <si>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</si>
  <si>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</si>
  <si>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</si>
  <si>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</si>
  <si>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</si>
  <si>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</si>
  <si>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</si>
  <si>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</si>
  <si>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</si>
  <si>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</si>
  <si>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</si>
  <si>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</si>
  <si>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</si>
  <si>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</si>
  <si>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</si>
  <si>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</si>
  <si>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</si>
  <si>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</si>
  <si>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</si>
  <si>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</si>
  <si>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</si>
  <si>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</si>
  <si>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</si>
  <si>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</si>
  <si>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</si>
  <si>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</si>
  <si>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</si>
  <si>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</si>
  <si>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</si>
  <si>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</si>
  <si>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</si>
  <si>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</si>
  <si>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</si>
  <si>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</si>
  <si>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</si>
  <si>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</si>
  <si>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</si>
  <si>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</si>
  <si>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</si>
  <si>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</si>
  <si>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</si>
  <si>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</si>
  <si>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</si>
  <si>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</si>
  <si>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</si>
  <si>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</si>
  <si>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</si>
  <si>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</si>
  <si>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</si>
  <si>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</si>
  <si>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</si>
  <si>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</si>
  <si>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</si>
  <si>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</si>
  <si>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</si>
  <si>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</si>
  <si>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</si>
  <si>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</si>
  <si>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</si>
  <si>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</si>
  <si>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</si>
  <si>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</si>
  <si>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</si>
  <si>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</si>
  <si>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</si>
  <si>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</si>
  <si>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</si>
  <si>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</si>
  <si>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</si>
  <si>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</si>
  <si>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</si>
  <si>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</si>
  <si>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</si>
  <si>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</si>
  <si>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</si>
  <si>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</si>
  <si>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</si>
  <si>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</si>
  <si>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</si>
  <si>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</si>
  <si>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</si>
  <si>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</si>
  <si>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</si>
  <si>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</si>
  <si>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</si>
  <si>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</si>
  <si>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</si>
  <si>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</si>
  <si>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</si>
  <si>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</si>
  <si>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</si>
  <si>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</si>
  <si>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</si>
  <si>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</si>
  <si>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</si>
  <si>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</si>
  <si>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</si>
  <si>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</si>
  <si>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</si>
  <si>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</si>
  <si>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</si>
  <si>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</si>
  <si>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</si>
  <si>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</si>
  <si>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</si>
  <si>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</si>
  <si>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</si>
  <si>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</si>
  <si>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</si>
  <si>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</si>
  <si>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</si>
  <si>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</si>
  <si>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</si>
  <si>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</si>
  <si>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</si>
  <si>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</si>
  <si>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</si>
  <si>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</si>
  <si>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</si>
  <si>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</si>
  <si>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</si>
  <si>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</si>
  <si>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</si>
  <si>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</si>
  <si>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</si>
  <si>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</si>
  <si>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</si>
  <si>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</si>
  <si>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</si>
  <si>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</si>
  <si>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</si>
  <si>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</si>
  <si>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</si>
  <si>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</si>
  <si>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</si>
  <si>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</si>
  <si>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</si>
  <si>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</si>
  <si>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</si>
  <si>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</si>
  <si>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</si>
  <si>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</si>
  <si>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</si>
  <si>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</si>
  <si>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</si>
  <si>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</si>
  <si>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</si>
  <si>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</si>
  <si>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</si>
  <si>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</si>
  <si>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</si>
  <si>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</si>
  <si>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</si>
  <si>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</si>
  <si>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</si>
  <si>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</si>
  <si>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</si>
  <si>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</si>
  <si>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</si>
  <si>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</si>
  <si>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</si>
  <si>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</si>
  <si>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</si>
  <si>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</si>
  <si>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</si>
  <si>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</si>
  <si>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</si>
  <si>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</si>
  <si>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</si>
  <si>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</si>
  <si>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</si>
  <si>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</si>
  <si>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</si>
  <si>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</si>
  <si>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</si>
  <si>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</si>
  <si>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</si>
  <si>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</si>
  <si>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</si>
  <si>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</si>
  <si>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</si>
  <si>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</si>
  <si>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</si>
  <si>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</si>
  <si>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</si>
  <si>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</si>
  <si>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</si>
  <si>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</si>
  <si>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</si>
  <si>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</si>
  <si>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</si>
  <si>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</si>
  <si>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</si>
  <si>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</si>
  <si>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</si>
  <si>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</si>
  <si>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</si>
  <si>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</si>
  <si>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</si>
  <si>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</si>
  <si>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</si>
  <si>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</si>
  <si>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</si>
  <si>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</si>
  <si>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</si>
  <si>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</si>
  <si>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</si>
  <si>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</si>
  <si>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</si>
  <si>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</si>
  <si>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</si>
  <si>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</si>
  <si>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</si>
  <si>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</si>
  <si>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</si>
  <si>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</si>
  <si>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</si>
  <si>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</si>
  <si>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</si>
  <si>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</si>
  <si>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</si>
  <si>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</si>
  <si>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</si>
  <si>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</si>
  <si>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</si>
  <si>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</si>
  <si>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</si>
  <si>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</si>
  <si>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</si>
  <si>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</si>
  <si>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</si>
  <si>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</si>
  <si>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</si>
  <si>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</si>
  <si>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</si>
  <si>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</si>
  <si>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</si>
  <si>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</si>
  <si>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</si>
  <si>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</si>
  <si>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</si>
  <si>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</si>
  <si>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</si>
  <si>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</si>
  <si>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</si>
  <si>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</si>
  <si>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</si>
  <si>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</si>
  <si>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</si>
  <si>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</si>
  <si>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</si>
  <si>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</si>
  <si>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</si>
  <si>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</si>
  <si>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</si>
  <si>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</si>
  <si>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</si>
  <si>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</si>
  <si>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</si>
  <si>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</si>
  <si>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</si>
  <si>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</si>
  <si>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</si>
  <si>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</si>
  <si>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</si>
  <si>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</si>
  <si>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</si>
  <si>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</si>
  <si>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</si>
  <si>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</si>
  <si>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</si>
  <si>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</si>
  <si>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</si>
  <si>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</si>
  <si>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</si>
  <si>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</si>
  <si>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</si>
  <si>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</si>
  <si>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</si>
  <si>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</si>
  <si>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</si>
  <si>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</si>
  <si>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</si>
  <si>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</si>
  <si>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</si>
  <si>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</si>
  <si>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</si>
  <si>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</si>
  <si>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</si>
  <si>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</si>
  <si>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</si>
  <si>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</si>
  <si>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</si>
  <si>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</si>
  <si>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</si>
  <si>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</si>
  <si>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</si>
  <si>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</si>
  <si>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</si>
  <si>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</si>
  <si>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</si>
  <si>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</si>
  <si>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</si>
  <si>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</si>
  <si>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</si>
  <si>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</si>
  <si>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</si>
  <si>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</si>
  <si>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</si>
  <si>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</si>
  <si>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</si>
  <si>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</si>
  <si>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</si>
  <si>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</si>
  <si>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</si>
  <si>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</si>
  <si>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</si>
  <si>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</si>
  <si>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</si>
  <si>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</si>
  <si>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</si>
  <si>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</si>
  <si>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</si>
  <si>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</si>
  <si>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</si>
  <si>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</si>
  <si>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</si>
  <si>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</si>
  <si>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</si>
  <si>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</si>
  <si>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</si>
  <si>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</si>
  <si>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</si>
  <si>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</si>
  <si>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</si>
  <si>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</si>
  <si>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</si>
  <si>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</si>
  <si>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</si>
  <si>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</si>
  <si>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</si>
  <si>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</si>
  <si>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</si>
  <si>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</si>
  <si>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</si>
  <si>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</si>
  <si>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</si>
  <si>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</si>
  <si>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</si>
  <si>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</si>
  <si>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</si>
  <si>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</si>
  <si>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</si>
  <si>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</si>
  <si>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</si>
  <si>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</si>
  <si>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</si>
  <si>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</si>
  <si>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</si>
  <si>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</si>
  <si>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</si>
  <si>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</si>
  <si>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</si>
  <si>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</si>
  <si>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</si>
  <si>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</si>
  <si>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</si>
  <si>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</si>
  <si>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</si>
  <si>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</si>
  <si>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</si>
  <si>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</si>
  <si>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</si>
  <si>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</si>
  <si>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</si>
  <si>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</si>
  <si>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</si>
  <si>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</si>
  <si>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</si>
  <si>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</si>
  <si>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</si>
  <si>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</si>
  <si>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</si>
  <si>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</si>
  <si>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</si>
  <si>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</si>
  <si>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</si>
  <si>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</si>
  <si>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</si>
  <si>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</si>
  <si>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</si>
  <si>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</si>
  <si>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</si>
  <si>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</si>
  <si>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</si>
  <si>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</si>
  <si>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</si>
  <si>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</si>
  <si>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</si>
  <si>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</si>
  <si>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</si>
  <si>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</si>
  <si>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</si>
  <si>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</si>
  <si>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</si>
  <si>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</si>
  <si>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</si>
  <si>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</si>
  <si>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</si>
  <si>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</si>
  <si>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</si>
  <si>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</si>
  <si>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</si>
  <si>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</si>
  <si>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</si>
  <si>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</si>
  <si>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</si>
  <si>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</si>
  <si>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</si>
  <si>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</si>
  <si>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</si>
  <si>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</si>
  <si>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</si>
  <si>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</si>
  <si>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</si>
  <si>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</si>
  <si>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</si>
  <si>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</si>
  <si>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</si>
  <si>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</si>
  <si>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</si>
  <si>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</si>
  <si>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</si>
  <si>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</si>
  <si>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</si>
  <si>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</si>
  <si>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</si>
  <si>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</si>
  <si>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</si>
  <si>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</si>
  <si>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</si>
  <si>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</si>
  <si>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</si>
  <si>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</si>
  <si>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</si>
  <si>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</si>
  <si>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</si>
  <si>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</si>
  <si>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</si>
  <si>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</si>
  <si>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</si>
  <si>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</si>
  <si>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</si>
  <si>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</si>
  <si>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</si>
  <si>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</si>
  <si>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</si>
  <si>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</si>
  <si>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</si>
  <si>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</si>
  <si>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</si>
  <si>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</si>
  <si>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</si>
  <si>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</si>
  <si>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</si>
  <si>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</si>
  <si>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</si>
  <si>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</si>
  <si>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</si>
  <si>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</si>
  <si>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</si>
  <si>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</si>
  <si>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</si>
  <si>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</si>
  <si>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</si>
  <si>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</si>
  <si>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</si>
  <si>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</si>
  <si>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</si>
  <si>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</si>
  <si>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</si>
  <si>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</si>
  <si>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</si>
  <si>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</si>
  <si>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</si>
  <si>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</si>
  <si>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</si>
  <si>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</si>
  <si>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</si>
  <si>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</si>
  <si>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</si>
  <si>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</si>
  <si>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</si>
  <si>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</si>
  <si>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</si>
  <si>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</si>
  <si>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</si>
  <si>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</si>
  <si>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</si>
  <si>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</si>
  <si>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</si>
  <si>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</si>
  <si>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</si>
  <si>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</si>
  <si>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</si>
  <si>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</si>
  <si>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</si>
  <si>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</si>
  <si>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</si>
  <si>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</si>
  <si>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</si>
  <si>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</si>
  <si>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</si>
  <si>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</si>
  <si>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</si>
  <si>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</si>
  <si>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</si>
  <si>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</si>
  <si>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</si>
  <si>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</si>
  <si>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</si>
  <si>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</si>
  <si>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</si>
  <si>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</si>
  <si>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</si>
  <si>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</si>
  <si>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</si>
  <si>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</si>
  <si>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</si>
  <si>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</si>
  <si>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</si>
  <si>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</si>
  <si>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</si>
  <si>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</si>
  <si>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</si>
  <si>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</si>
  <si>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</si>
  <si>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</si>
  <si>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</si>
  <si>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</si>
  <si>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</si>
  <si>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</si>
  <si>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</si>
  <si>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</si>
  <si>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</si>
  <si>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</si>
  <si>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</si>
  <si>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</si>
  <si>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</si>
  <si>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</si>
  <si>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</si>
  <si>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</si>
  <si>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</si>
  <si>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</si>
  <si>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</si>
  <si>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</si>
  <si>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</si>
  <si>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</si>
  <si>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</si>
  <si>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</si>
  <si>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</si>
  <si>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</si>
  <si>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</si>
  <si>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</si>
  <si>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</si>
  <si>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</si>
  <si>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</si>
  <si>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</si>
  <si>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</si>
  <si>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</si>
  <si>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</si>
  <si>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</si>
  <si>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</si>
  <si>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</si>
  <si>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</si>
  <si>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</si>
  <si>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</si>
  <si>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</si>
  <si>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</si>
  <si>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</si>
  <si>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</si>
  <si>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</si>
  <si>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</si>
  <si>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</si>
  <si>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</si>
  <si>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</si>
  <si>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</si>
  <si>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</si>
  <si>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</si>
  <si>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</si>
  <si>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</si>
  <si>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</si>
  <si>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</si>
  <si>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</si>
  <si>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</si>
  <si>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</si>
  <si>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</si>
  <si>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</si>
  <si>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</si>
  <si>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</si>
  <si>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</si>
  <si>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</si>
  <si>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</si>
  <si>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</si>
  <si>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</si>
  <si>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</si>
  <si>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</si>
  <si>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</si>
  <si>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</si>
  <si>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</si>
  <si>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</si>
  <si>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</si>
  <si>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</si>
  <si>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</si>
  <si>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</si>
  <si>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</si>
  <si>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</si>
  <si>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</si>
  <si>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</si>
  <si>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</si>
  <si>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</si>
  <si>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</si>
  <si>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</si>
  <si>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</si>
  <si>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</si>
  <si>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</si>
  <si>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</si>
  <si>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</si>
  <si>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</si>
  <si>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</si>
  <si>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</si>
  <si>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</si>
  <si>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</si>
  <si>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</si>
  <si>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</si>
  <si>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</si>
  <si>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</si>
  <si>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</si>
  <si>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</si>
  <si>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</si>
  <si>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</si>
  <si>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</si>
  <si>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</si>
  <si>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</si>
  <si>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</si>
  <si>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</si>
  <si>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</si>
  <si>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</si>
  <si>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</si>
  <si>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</si>
  <si>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</si>
  <si>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</si>
  <si>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</si>
  <si>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</si>
  <si>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</si>
  <si>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</si>
  <si>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</si>
  <si>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</si>
  <si>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</si>
  <si>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</si>
  <si>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</si>
  <si>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</si>
  <si>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</si>
  <si>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</si>
  <si>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</si>
  <si>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</si>
  <si>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</si>
  <si>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</si>
  <si>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</si>
  <si>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</si>
  <si>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</si>
  <si>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</si>
  <si>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</si>
  <si>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</si>
  <si>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</si>
  <si>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</si>
  <si>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</si>
  <si>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</si>
  <si>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</si>
  <si>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</si>
  <si>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</si>
  <si>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</si>
  <si>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</si>
  <si>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</si>
  <si>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</si>
  <si>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</si>
  <si>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</si>
  <si>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</si>
  <si>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</si>
  <si>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</si>
  <si>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</si>
  <si>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</si>
  <si>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</si>
  <si>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</si>
  <si>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</si>
  <si>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</si>
  <si>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</si>
  <si>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</si>
  <si>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</si>
  <si>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</si>
  <si>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</si>
  <si>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</si>
  <si>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</si>
  <si>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</si>
  <si>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</si>
  <si>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</si>
  <si>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</si>
  <si>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</si>
  <si>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</si>
  <si>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</si>
  <si>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</si>
  <si>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</si>
  <si>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</si>
  <si>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</si>
  <si>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</si>
  <si>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</si>
  <si>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</si>
  <si>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</si>
  <si>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</si>
  <si>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</si>
  <si>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</si>
  <si>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</si>
  <si>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</si>
  <si>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</si>
  <si>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</si>
  <si>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</si>
  <si>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</si>
  <si>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</si>
  <si>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</si>
  <si>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</si>
  <si>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</si>
  <si>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</si>
  <si>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</si>
  <si>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</si>
  <si>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</si>
  <si>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</si>
  <si>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</si>
  <si>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</si>
  <si>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</si>
  <si>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</si>
  <si>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</si>
  <si>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</si>
  <si>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</si>
  <si>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</si>
  <si>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</si>
  <si>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</si>
  <si>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</si>
  <si>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</si>
  <si>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</si>
  <si>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</si>
  <si>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</si>
  <si>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</si>
  <si>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</si>
  <si>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</si>
  <si>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</si>
  <si>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</si>
  <si>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</si>
  <si>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</si>
  <si>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</si>
  <si>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</si>
  <si>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</si>
  <si>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</si>
  <si>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</si>
  <si>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</si>
  <si>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</si>
  <si>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</si>
  <si>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</si>
  <si>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</si>
  <si>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</si>
  <si>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</si>
  <si>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</si>
  <si>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</si>
  <si>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</si>
  <si>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</si>
  <si>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</si>
  <si>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</si>
  <si>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</si>
  <si>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</si>
  <si>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</si>
  <si>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</si>
  <si>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</si>
  <si>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</si>
  <si>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</si>
  <si>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</si>
  <si>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</si>
  <si>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</si>
  <si>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</si>
  <si>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</si>
  <si>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</si>
  <si>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</si>
  <si>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</si>
  <si>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</si>
  <si>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</si>
  <si>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</si>
  <si>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</si>
  <si>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</si>
  <si>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</si>
  <si>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</si>
  <si>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</si>
  <si>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</si>
  <si>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</si>
  <si>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</si>
  <si>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</si>
  <si>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</si>
  <si>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</si>
  <si>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</si>
  <si>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</si>
  <si>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</si>
  <si>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</si>
  <si>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</si>
  <si>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</si>
  <si>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</si>
  <si>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</si>
  <si>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</si>
  <si>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</si>
  <si>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</si>
  <si>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</si>
  <si>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</si>
  <si>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</si>
  <si>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</si>
  <si>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</si>
  <si>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</si>
  <si>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</si>
  <si>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</si>
  <si>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</si>
  <si>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</si>
  <si>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</si>
  <si>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</si>
  <si>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</si>
  <si>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</si>
  <si>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</si>
  <si>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</si>
  <si>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</si>
  <si>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</si>
  <si>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</si>
  <si>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</si>
  <si>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</si>
  <si>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</si>
  <si>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</si>
  <si>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</si>
  <si>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</si>
  <si>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</si>
  <si>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</si>
  <si>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</si>
  <si>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</si>
  <si>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</si>
  <si>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</si>
  <si>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</si>
  <si>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</si>
  <si>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</si>
  <si>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</si>
  <si>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</si>
  <si>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</si>
  <si>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</si>
  <si>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</si>
  <si>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</si>
  <si>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</si>
  <si>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</si>
  <si>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</si>
  <si>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</si>
  <si>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</si>
  <si>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</si>
  <si>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</si>
  <si>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</si>
  <si>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</si>
  <si>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</si>
  <si>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</si>
  <si>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</si>
  <si>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</si>
  <si>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</si>
  <si>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</si>
  <si>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</si>
  <si>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</si>
  <si>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</si>
  <si>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</si>
  <si>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</si>
  <si>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</si>
  <si>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</si>
  <si>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</si>
  <si>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</si>
  <si>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</si>
  <si>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</si>
  <si>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</si>
  <si>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</si>
  <si>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</si>
  <si>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</si>
  <si>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</si>
  <si>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</si>
  <si>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</si>
  <si>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</si>
  <si>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</si>
  <si>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</si>
  <si>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</si>
  <si>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</si>
  <si>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</si>
  <si>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</si>
  <si>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</si>
  <si>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</si>
  <si>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</si>
  <si>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</si>
  <si>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</si>
  <si>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</si>
  <si>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</si>
  <si>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</si>
  <si>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</si>
  <si>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</si>
  <si>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</si>
  <si>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</si>
  <si>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</si>
  <si>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</si>
  <si>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</si>
  <si>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</si>
  <si>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</si>
  <si>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</si>
  <si>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</si>
  <si>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</si>
  <si>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</si>
  <si>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</si>
  <si>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</si>
  <si>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</si>
  <si>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</si>
  <si>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</si>
  <si>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</si>
  <si>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</si>
  <si>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</si>
  <si>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</si>
  <si>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</si>
  <si>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</si>
  <si>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</si>
  <si>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</si>
  <si>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</si>
  <si>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</si>
  <si>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</si>
  <si>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</si>
  <si>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</si>
  <si>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</si>
  <si>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</si>
  <si>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</si>
  <si>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</si>
  <si>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</si>
  <si>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</si>
  <si>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</si>
  <si>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</si>
  <si>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</si>
  <si>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</si>
  <si>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</si>
  <si>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</si>
  <si>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</si>
  <si>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</si>
  <si>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</si>
  <si>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</si>
  <si>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</si>
  <si>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</si>
  <si>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</si>
  <si>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</si>
  <si>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</si>
  <si>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</si>
  <si>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</si>
  <si>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</si>
  <si>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</si>
  <si>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</si>
  <si>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</si>
  <si>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</si>
  <si>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</si>
  <si>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</si>
  <si>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</si>
  <si>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</si>
  <si>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</si>
  <si>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</si>
  <si>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</si>
  <si>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</si>
  <si>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</si>
  <si>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</si>
  <si>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</si>
  <si>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</si>
  <si>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</si>
  <si>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</si>
  <si>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</si>
  <si>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</si>
  <si>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</si>
  <si>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</si>
  <si>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</si>
  <si>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</si>
  <si>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</si>
  <si>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</si>
  <si>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</si>
  <si>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</si>
  <si>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</si>
  <si>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</si>
  <si>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</si>
  <si>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</si>
  <si>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</si>
  <si>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</si>
  <si>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</si>
  <si>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</si>
  <si>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</si>
  <si>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</si>
  <si>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</si>
  <si>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</si>
  <si>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</si>
  <si>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</si>
  <si>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</si>
  <si>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</si>
  <si>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</si>
  <si>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</si>
  <si>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</si>
  <si>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</si>
  <si>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</si>
  <si>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</si>
  <si>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</si>
  <si>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</si>
  <si>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</si>
  <si>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</si>
  <si>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</si>
  <si>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</si>
  <si>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</si>
  <si>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</si>
  <si>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</si>
  <si>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</si>
  <si>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</si>
  <si>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</si>
  <si>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</si>
  <si>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</si>
  <si>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</si>
  <si>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</si>
  <si>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</si>
  <si>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</si>
  <si>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</si>
  <si>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</si>
  <si>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</si>
  <si>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</si>
  <si>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</si>
  <si>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</si>
  <si>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</si>
  <si>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</si>
  <si>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</si>
  <si>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</si>
  <si>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</si>
  <si>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</si>
  <si>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</si>
  <si>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</si>
  <si>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</si>
  <si>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</si>
  <si>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</si>
  <si>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</si>
  <si>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</si>
  <si>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</si>
  <si>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</si>
  <si>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</si>
  <si>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</si>
  <si>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</si>
  <si>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</si>
  <si>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</si>
  <si>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</si>
  <si>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</si>
  <si>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</si>
  <si>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</si>
  <si>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</si>
  <si>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</si>
  <si>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</si>
  <si>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</si>
  <si>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</si>
  <si>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</si>
  <si>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</si>
  <si>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</si>
  <si>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</si>
  <si>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</si>
  <si>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</si>
  <si>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</si>
  <si>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</si>
  <si>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</si>
  <si>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</si>
  <si>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</si>
  <si>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</si>
  <si>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</si>
  <si>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</si>
  <si>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</si>
  <si>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</si>
  <si>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</si>
  <si>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</si>
  <si>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</si>
  <si>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</si>
  <si>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</si>
  <si>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</si>
  <si>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</si>
  <si>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</si>
  <si>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</si>
  <si>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</si>
  <si>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</si>
  <si>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</si>
  <si>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</si>
  <si>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</si>
  <si>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</si>
  <si>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</si>
  <si>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</si>
  <si>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</si>
  <si>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</si>
  <si>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</si>
  <si>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</si>
  <si>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</si>
  <si>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</si>
  <si>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</si>
  <si>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</si>
  <si>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</si>
  <si>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</si>
  <si>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</si>
  <si>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</si>
  <si>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</si>
  <si>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</si>
  <si>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</si>
  <si>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</si>
  <si>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</si>
  <si>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</si>
  <si>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</si>
  <si>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</si>
  <si>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</si>
  <si>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</si>
  <si>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</si>
  <si>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</si>
  <si>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</si>
  <si>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</si>
  <si>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</si>
  <si>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</si>
  <si>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</si>
  <si>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</si>
  <si>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</si>
  <si>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</si>
  <si>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</si>
  <si>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</si>
  <si>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</si>
  <si>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</si>
  <si>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</si>
  <si>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</si>
  <si>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</si>
  <si>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</si>
  <si>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</si>
  <si>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</si>
  <si>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</si>
  <si>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</si>
  <si>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</si>
  <si>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</si>
  <si>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</si>
  <si>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</si>
  <si>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</si>
  <si>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</si>
  <si>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</si>
  <si>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</si>
  <si>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</si>
  <si>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</si>
  <si>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</si>
  <si>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</si>
  <si>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</si>
  <si>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</si>
  <si>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</si>
  <si>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</si>
  <si>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</si>
  <si>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</si>
  <si>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</si>
  <si>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</si>
  <si>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</si>
  <si>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</si>
  <si>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</si>
  <si>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</si>
  <si>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</si>
  <si>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</si>
  <si>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</si>
  <si>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</si>
  <si>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</si>
  <si>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</si>
  <si>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</si>
  <si>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</si>
  <si>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</si>
  <si>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</si>
  <si>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</si>
  <si>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</si>
  <si>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</si>
  <si>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</si>
  <si>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</si>
  <si>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</si>
  <si>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</si>
  <si>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</si>
  <si>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</si>
  <si>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</si>
  <si>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</si>
  <si>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</si>
  <si>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</si>
  <si>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</si>
  <si>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</si>
  <si>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</si>
  <si>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</si>
  <si>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</si>
  <si>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</si>
  <si>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</si>
  <si>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</si>
  <si>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</si>
  <si>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</si>
  <si>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</si>
  <si>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</si>
  <si>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</si>
  <si>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</si>
  <si>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</si>
  <si>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</si>
  <si>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</si>
  <si>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</si>
  <si>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</si>
  <si>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</si>
  <si>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</si>
  <si>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</si>
  <si>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</si>
  <si>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</si>
  <si>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</si>
  <si>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</si>
  <si>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</si>
  <si>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</si>
  <si>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</si>
  <si>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</si>
  <si>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</si>
  <si>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</si>
  <si>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</si>
  <si>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</si>
  <si>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</si>
  <si>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</si>
  <si>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</si>
  <si>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</si>
  <si>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</si>
  <si>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</si>
  <si>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</si>
  <si>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</si>
  <si>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</si>
  <si>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</si>
  <si>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</si>
  <si>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</si>
  <si>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</si>
  <si>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</si>
  <si>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</si>
  <si>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</si>
  <si>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</si>
  <si>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</si>
  <si>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</si>
  <si>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</si>
  <si>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</si>
  <si>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</si>
  <si>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</si>
  <si>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</si>
  <si>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</si>
  <si>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</si>
  <si>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</si>
  <si>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</si>
  <si>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</si>
  <si>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</si>
  <si>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</si>
  <si>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</si>
  <si>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</si>
  <si>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</si>
  <si>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</si>
  <si>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</si>
  <si>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</si>
  <si>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</si>
  <si>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</si>
  <si>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</si>
  <si>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</si>
  <si>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</si>
  <si>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</si>
  <si>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</si>
  <si>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</si>
  <si>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</si>
  <si>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</si>
  <si>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</si>
  <si>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</si>
  <si>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</si>
  <si>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</si>
  <si>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</si>
  <si>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</si>
  <si>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</si>
  <si>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</si>
  <si>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</si>
  <si>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</si>
  <si>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</si>
  <si>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</si>
  <si>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</si>
  <si>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</si>
  <si>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</si>
  <si>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</si>
  <si>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</si>
  <si>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</si>
  <si>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</si>
  <si>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</si>
  <si>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</si>
  <si>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</si>
  <si>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</si>
  <si>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</si>
  <si>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</si>
  <si>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</si>
  <si>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</si>
  <si>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</si>
  <si>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</si>
  <si>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</si>
  <si>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</si>
  <si>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</si>
  <si>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</si>
  <si>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</si>
  <si>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</si>
  <si>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</si>
  <si>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</si>
  <si>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</si>
  <si>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</si>
  <si>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</si>
  <si>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</si>
  <si>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</si>
  <si>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</si>
  <si>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</si>
  <si>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</si>
  <si>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</si>
  <si>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</si>
  <si>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</si>
  <si>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</si>
  <si>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</si>
  <si>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</si>
  <si>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</si>
  <si>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</si>
  <si>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</si>
  <si>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</si>
  <si>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</si>
  <si>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</si>
  <si>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</si>
  <si>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</si>
  <si>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</si>
  <si>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</si>
  <si>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</si>
  <si>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</si>
  <si>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</si>
  <si>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</si>
  <si>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</si>
  <si>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</si>
  <si>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</si>
  <si>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</si>
  <si>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</si>
  <si>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</si>
  <si>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</si>
  <si>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</si>
  <si>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</si>
  <si>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</si>
  <si>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</si>
  <si>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</si>
  <si>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</si>
  <si>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</si>
  <si>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</si>
  <si>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</si>
  <si>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</si>
  <si>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</si>
  <si>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</si>
  <si>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</si>
  <si>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</si>
  <si>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</si>
  <si>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</si>
  <si>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</si>
  <si>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</si>
  <si>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</si>
  <si>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</si>
  <si>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</si>
  <si>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</si>
  <si>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</si>
  <si>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</si>
  <si>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</si>
  <si>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</si>
  <si>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</si>
  <si>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</si>
  <si>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</si>
  <si>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</si>
  <si>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</si>
  <si>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</si>
  <si>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</si>
  <si>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</si>
  <si>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</si>
  <si>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</si>
  <si>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</si>
  <si>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</si>
  <si>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</si>
  <si>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</si>
  <si>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</si>
  <si>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</si>
  <si>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</si>
  <si>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</si>
  <si>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</si>
  <si>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</si>
  <si>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</si>
  <si>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</si>
  <si>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</si>
  <si>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</si>
  <si>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</si>
  <si>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</si>
  <si>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</si>
  <si>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</si>
  <si>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</si>
  <si>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</si>
  <si>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</si>
  <si>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</si>
  <si>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</si>
  <si>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</si>
  <si>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</si>
  <si>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</si>
  <si>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</si>
  <si>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</si>
  <si>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</si>
  <si>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</si>
  <si>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</si>
  <si>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</si>
  <si>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</si>
  <si>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</si>
  <si>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</si>
  <si>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</si>
  <si>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</si>
  <si>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</si>
  <si>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</si>
  <si>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</si>
  <si>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</si>
  <si>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</si>
  <si>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</si>
  <si>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</si>
  <si>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</si>
  <si>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</si>
  <si>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</si>
  <si>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</si>
  <si>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</si>
  <si>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</si>
  <si>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</si>
  <si>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</si>
  <si>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</si>
  <si>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</si>
  <si>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</si>
  <si>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</si>
  <si>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</si>
  <si>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</si>
  <si>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</si>
  <si>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</si>
  <si>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</si>
  <si>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</si>
  <si>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</si>
  <si>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</si>
  <si>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</si>
  <si>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</si>
  <si>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</si>
  <si>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</si>
  <si>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</si>
  <si>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</si>
  <si>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</si>
  <si>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</si>
  <si>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</si>
  <si>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</si>
  <si>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</si>
  <si>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</si>
  <si>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</si>
  <si>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</si>
  <si>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</si>
  <si>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</si>
  <si>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</si>
  <si>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</si>
  <si>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</si>
  <si>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</si>
  <si>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</si>
  <si>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</si>
  <si>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</si>
  <si>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</si>
  <si>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</si>
  <si>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</si>
  <si>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</si>
  <si>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</si>
  <si>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</si>
  <si>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</si>
  <si>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</si>
  <si>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</si>
  <si>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</si>
  <si>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</si>
  <si>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</si>
  <si>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</si>
  <si>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</si>
  <si>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</si>
  <si>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</si>
  <si>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</si>
  <si>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</si>
  <si>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</si>
  <si>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</si>
  <si>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</si>
  <si>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</si>
  <si>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</si>
  <si>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</si>
  <si>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</si>
  <si>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</si>
  <si>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</si>
  <si>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</si>
  <si>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</si>
  <si>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</si>
  <si>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</si>
  <si>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</si>
  <si>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</si>
  <si>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</si>
  <si>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</si>
  <si>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</si>
  <si>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</si>
  <si>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</si>
  <si>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</si>
  <si>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</si>
  <si>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</si>
  <si>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</si>
  <si>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</si>
  <si>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</si>
  <si>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</si>
  <si>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</si>
  <si>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</si>
  <si>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</si>
  <si>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</si>
  <si>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</si>
  <si>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</si>
  <si>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</si>
  <si>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</si>
  <si>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</si>
  <si>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</si>
  <si>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</si>
  <si>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</si>
  <si>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</si>
  <si>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</si>
  <si>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</si>
  <si>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</si>
  <si>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</si>
  <si>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</si>
  <si>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</si>
  <si>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</si>
  <si>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</si>
  <si>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</si>
  <si>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</si>
  <si>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</si>
  <si>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</si>
  <si>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</si>
  <si>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</si>
  <si>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</si>
  <si>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</si>
  <si>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</si>
  <si>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</si>
  <si>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</si>
  <si>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</si>
  <si>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</si>
  <si>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</si>
  <si>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</si>
  <si>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</si>
  <si>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</si>
  <si>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</si>
  <si>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</si>
  <si>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</si>
  <si>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</si>
  <si>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</si>
  <si>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</si>
  <si>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</si>
  <si>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</si>
  <si>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</si>
  <si>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</si>
  <si>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</si>
  <si>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</si>
  <si>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</si>
  <si>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</si>
  <si>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</si>
  <si>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</si>
  <si>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</si>
  <si>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</si>
  <si>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</si>
  <si>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</si>
  <si>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</si>
  <si>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</si>
  <si>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</si>
  <si>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</si>
  <si>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</si>
  <si>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</si>
  <si>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</si>
  <si>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</si>
  <si>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</si>
  <si>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</si>
  <si>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</si>
  <si>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</si>
  <si>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</si>
  <si>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</si>
  <si>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</si>
  <si>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</si>
  <si>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</si>
  <si>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</si>
  <si>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</si>
  <si>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</si>
  <si>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</si>
  <si>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</si>
  <si>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</si>
  <si>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</si>
  <si>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</si>
  <si>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</si>
  <si>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</si>
  <si>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</si>
  <si>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</si>
  <si>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</si>
  <si>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</si>
  <si>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</si>
  <si>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</si>
  <si>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</si>
  <si>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</si>
  <si>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</si>
  <si>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</si>
  <si>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</si>
  <si>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</si>
  <si>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</si>
  <si>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</si>
  <si>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</si>
  <si>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</si>
  <si>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</si>
  <si>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</si>
  <si>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</si>
  <si>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</si>
  <si>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</si>
  <si>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</si>
  <si>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</si>
  <si>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</si>
  <si>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</si>
  <si>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</si>
  <si>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</si>
  <si>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</si>
  <si>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</si>
  <si>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</si>
  <si>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</si>
  <si>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</si>
  <si>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</si>
  <si>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</si>
  <si>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</si>
  <si>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</si>
  <si>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</si>
  <si>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</si>
  <si>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</si>
  <si>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</si>
  <si>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</si>
  <si>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</si>
  <si>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</si>
  <si>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</si>
  <si>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</si>
  <si>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</si>
  <si>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</si>
  <si>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</si>
  <si>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</si>
  <si>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</si>
  <si>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</si>
  <si>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</si>
  <si>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</si>
  <si>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</si>
  <si>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</si>
  <si>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</si>
  <si>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</si>
  <si>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</si>
  <si>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</si>
  <si>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</si>
  <si>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</si>
  <si>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</si>
  <si>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</si>
  <si>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</si>
  <si>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</si>
  <si>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</si>
  <si>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</si>
  <si>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</si>
  <si>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</si>
  <si>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</si>
  <si>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</si>
  <si>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</si>
  <si>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</si>
  <si>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</si>
  <si>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</si>
  <si>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</si>
  <si>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</si>
  <si>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</si>
  <si>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</si>
  <si>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</si>
  <si>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</si>
  <si>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</si>
  <si>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</si>
  <si>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</si>
  <si>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</si>
  <si>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</si>
  <si>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</si>
  <si>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</si>
  <si>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</si>
  <si>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</si>
  <si>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</si>
  <si>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</si>
  <si>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</si>
  <si>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</si>
  <si>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</si>
  <si>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</si>
  <si>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</si>
  <si>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</si>
  <si>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</si>
  <si>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</si>
  <si>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</si>
  <si>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</si>
  <si>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</si>
  <si>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</si>
  <si>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</si>
  <si>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</si>
  <si>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</si>
  <si>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</si>
  <si>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</si>
  <si>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</si>
  <si>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</si>
  <si>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</si>
  <si>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</si>
  <si>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</si>
  <si>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</si>
  <si>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</si>
  <si>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</si>
  <si>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</si>
  <si>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</si>
  <si>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</si>
  <si>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</si>
  <si>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</si>
  <si>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</si>
  <si>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</si>
  <si>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</si>
  <si>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</si>
  <si>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</si>
  <si>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</si>
  <si>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</si>
  <si>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</si>
  <si>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</si>
  <si>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</si>
  <si>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</si>
  <si>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</si>
  <si>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</si>
  <si>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</si>
  <si>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</si>
  <si>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</si>
  <si>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</si>
  <si>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</si>
  <si>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</si>
  <si>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</si>
  <si>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</si>
  <si>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</si>
  <si>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</si>
  <si>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</si>
  <si>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</si>
  <si>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</si>
  <si>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</si>
  <si>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</si>
  <si>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</si>
  <si>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</si>
  <si>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</si>
  <si>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</si>
  <si>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</si>
  <si>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</si>
  <si>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</si>
  <si>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</si>
  <si>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</si>
  <si>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</si>
  <si>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</si>
  <si>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</si>
  <si>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</si>
  <si>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</si>
  <si>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</si>
  <si>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</si>
  <si>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</si>
  <si>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</si>
  <si>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</si>
  <si>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</si>
  <si>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</si>
  <si>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</si>
  <si>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</si>
  <si>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</si>
  <si>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</si>
  <si>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</si>
  <si>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</si>
  <si>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</si>
  <si>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</si>
  <si>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</si>
  <si>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</si>
  <si>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</si>
  <si>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</si>
  <si>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</si>
  <si>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</si>
  <si>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</si>
  <si>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</si>
  <si>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</si>
  <si>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</si>
  <si>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</si>
  <si>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</si>
  <si>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</si>
  <si>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</si>
  <si>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</si>
  <si>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</si>
  <si>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</si>
  <si>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</si>
  <si>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</si>
  <si>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</si>
  <si>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</si>
  <si>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</si>
  <si>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</si>
  <si>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</si>
  <si>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</si>
  <si>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</si>
  <si>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</si>
  <si>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</si>
  <si>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</si>
  <si>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</si>
  <si>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</si>
  <si>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</si>
  <si>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</si>
  <si>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</si>
  <si>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</si>
  <si>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</si>
  <si>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</si>
  <si>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</si>
  <si>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</si>
  <si>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</si>
  <si>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</si>
  <si>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</si>
  <si>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</si>
  <si>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</si>
  <si>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</si>
  <si>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</si>
  <si>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</si>
  <si>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</si>
  <si>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</si>
  <si>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</si>
  <si>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</si>
  <si>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</si>
  <si>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</si>
  <si>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</si>
  <si>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</si>
  <si>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</si>
  <si>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</si>
  <si>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</si>
  <si>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</si>
  <si>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</si>
  <si>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</si>
  <si>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</si>
  <si>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</si>
  <si>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</si>
  <si>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</si>
  <si>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</si>
  <si>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</si>
  <si>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</si>
  <si>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</si>
  <si>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</si>
  <si>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</si>
  <si>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</si>
  <si>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</si>
  <si>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</si>
  <si>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</si>
  <si>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</si>
  <si>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</si>
  <si>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</si>
  <si>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</si>
  <si>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</si>
  <si>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</si>
  <si>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</si>
  <si>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</si>
  <si>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</si>
  <si>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</si>
  <si>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</si>
  <si>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</si>
  <si>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</si>
  <si>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</si>
  <si>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</si>
  <si>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</si>
  <si>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</si>
  <si>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</si>
  <si>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</si>
  <si>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</si>
  <si>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</si>
  <si>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</si>
  <si>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</si>
  <si>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</si>
  <si>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</si>
  <si>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</si>
  <si>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</si>
  <si>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</si>
  <si>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</si>
  <si>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</si>
  <si>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</si>
  <si>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</si>
  <si>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</si>
  <si>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</si>
  <si>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</si>
  <si>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</si>
  <si>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</si>
  <si>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</si>
  <si>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</si>
  <si>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</si>
  <si>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</si>
  <si>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</si>
  <si>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</si>
  <si>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</si>
  <si>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</si>
  <si>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</si>
  <si>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</si>
  <si>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</si>
  <si>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</si>
  <si>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</si>
  <si>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</si>
  <si>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</si>
  <si>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</si>
  <si>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</si>
  <si>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</si>
  <si>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</si>
  <si>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</si>
  <si>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</si>
  <si>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</si>
  <si>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</si>
  <si>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</si>
  <si>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</si>
  <si>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</si>
  <si>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</si>
  <si>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</si>
  <si>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</si>
  <si>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</si>
  <si>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</si>
  <si>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</si>
  <si>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</si>
  <si>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</si>
  <si>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</si>
  <si>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</si>
  <si>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</si>
  <si>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</si>
  <si>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</si>
  <si>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</si>
  <si>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</si>
  <si>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</si>
  <si>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</si>
  <si>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</si>
  <si>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</si>
  <si>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</si>
  <si>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</si>
  <si>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</si>
  <si>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</si>
  <si>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</si>
  <si>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</si>
  <si>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</si>
  <si>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</si>
  <si>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</si>
  <si>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</si>
  <si>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</si>
  <si>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</si>
  <si>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</si>
  <si>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</si>
  <si>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</si>
  <si>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</si>
  <si>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</si>
  <si>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</si>
  <si>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</si>
  <si>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</si>
  <si>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</si>
  <si>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</si>
  <si>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</si>
  <si>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</si>
  <si>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</si>
  <si>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</si>
  <si>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</si>
  <si>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</si>
  <si>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</si>
  <si>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</si>
  <si>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</si>
  <si>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</si>
  <si>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</si>
  <si>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</si>
  <si>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</si>
  <si>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</si>
  <si>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</si>
  <si>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</si>
  <si>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</si>
  <si>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</si>
  <si>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</si>
  <si>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</si>
  <si>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</si>
  <si>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</si>
  <si>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</si>
  <si>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</si>
  <si>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</si>
  <si>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</si>
  <si>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</si>
  <si>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</si>
  <si>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</si>
  <si>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</si>
  <si>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</si>
  <si>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</si>
  <si>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</si>
  <si>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</si>
  <si>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</si>
  <si>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</si>
  <si>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</si>
  <si>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</si>
  <si>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</si>
  <si>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</si>
  <si>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</si>
  <si>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</si>
  <si>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</si>
  <si>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</si>
  <si>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</si>
  <si>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</si>
  <si>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</si>
  <si>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</si>
  <si>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</si>
  <si>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</si>
  <si>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</si>
  <si>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</si>
  <si>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</si>
  <si>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</si>
  <si>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</si>
  <si>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</si>
  <si>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</si>
  <si>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</si>
  <si>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</si>
  <si>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</si>
  <si>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</si>
  <si>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</si>
  <si>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</si>
  <si>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</si>
  <si>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</si>
  <si>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</si>
  <si>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</si>
  <si>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</si>
  <si>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</si>
  <si>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</si>
  <si>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</si>
  <si>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</si>
  <si>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</si>
  <si>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</si>
  <si>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</si>
  <si>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</si>
  <si>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</si>
  <si>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</si>
  <si>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</si>
  <si>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</si>
  <si>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</si>
  <si>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</si>
  <si>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</si>
  <si>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</si>
  <si>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</si>
  <si>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</si>
  <si>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</si>
  <si>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</si>
  <si>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</si>
  <si>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</si>
  <si>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</si>
  <si>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</si>
  <si>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</si>
  <si>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</si>
  <si>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</si>
  <si>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</si>
  <si>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</si>
  <si>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</si>
  <si>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</si>
  <si>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</si>
  <si>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</si>
  <si>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</si>
  <si>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</si>
  <si>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</si>
  <si>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</si>
  <si>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</si>
  <si>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</si>
  <si>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</si>
  <si>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</si>
  <si>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</si>
  <si>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</si>
  <si>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</si>
  <si>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</si>
  <si>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</si>
  <si>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</si>
  <si>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</si>
  <si>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</si>
  <si>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</si>
  <si>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</si>
  <si>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</si>
  <si>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</si>
  <si>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</si>
  <si>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</si>
  <si>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</si>
  <si>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</si>
  <si>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</si>
  <si>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</si>
  <si>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</si>
  <si>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</si>
  <si>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</si>
  <si>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</si>
  <si>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</si>
  <si>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</si>
  <si>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</si>
  <si>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</si>
  <si>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</si>
  <si>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</si>
  <si>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</si>
  <si>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</si>
  <si>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</si>
  <si>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</si>
  <si>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</si>
  <si>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</si>
  <si>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</si>
  <si>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</si>
  <si>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</si>
  <si>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</si>
  <si>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</si>
  <si>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</si>
  <si>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</si>
  <si>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</si>
  <si>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</si>
  <si>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</si>
  <si>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</si>
  <si>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</si>
  <si>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</si>
  <si>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</si>
  <si>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</si>
  <si>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</si>
  <si>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</si>
  <si>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</si>
  <si>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</si>
  <si>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</si>
  <si>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</si>
  <si>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</si>
  <si>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</si>
  <si>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</si>
  <si>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</si>
  <si>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</si>
  <si>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</si>
  <si>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</si>
  <si>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</si>
  <si>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</si>
  <si>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</si>
  <si>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</si>
  <si>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</si>
  <si>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</si>
  <si>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</si>
  <si>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</si>
  <si>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</si>
  <si>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</si>
  <si>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</si>
  <si>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</si>
  <si>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</si>
  <si>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</si>
  <si>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</si>
  <si>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</si>
  <si>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</si>
  <si>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</si>
  <si>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</si>
  <si>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</si>
  <si>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</si>
  <si>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</si>
  <si>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</si>
  <si>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</si>
  <si>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</si>
  <si>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</si>
  <si>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</si>
  <si>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</si>
  <si>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</si>
  <si>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</si>
  <si>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</si>
  <si>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</si>
  <si>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</si>
  <si>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</si>
  <si>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</si>
  <si>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</si>
  <si>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</si>
  <si>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</si>
  <si>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</si>
  <si>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</si>
  <si>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</si>
  <si>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</si>
  <si>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</si>
  <si>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</si>
  <si>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</si>
  <si>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</si>
  <si>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</si>
  <si>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</si>
  <si>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</si>
  <si>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</si>
  <si>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</si>
  <si>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</si>
  <si>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</si>
  <si>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</si>
  <si>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</si>
  <si>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</si>
  <si>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</si>
  <si>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</si>
  <si>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</si>
  <si>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</si>
  <si>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</si>
  <si>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</si>
  <si>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</si>
  <si>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</si>
  <si>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</si>
  <si>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</si>
  <si>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</si>
  <si>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</si>
  <si>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</si>
  <si>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</si>
  <si>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</si>
  <si>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</si>
  <si>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</si>
  <si>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</si>
  <si>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</si>
  <si>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</si>
  <si>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</si>
  <si>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</si>
  <si>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</si>
  <si>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</si>
  <si>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</si>
  <si>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</si>
  <si>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</si>
  <si>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</si>
  <si>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</si>
  <si>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</si>
  <si>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</si>
  <si>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</si>
  <si>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</si>
  <si>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</si>
  <si>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</si>
  <si>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</si>
  <si>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</si>
  <si>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</si>
  <si>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</si>
  <si>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</si>
  <si>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</si>
  <si>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</si>
  <si>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</si>
  <si>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</si>
  <si>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</si>
  <si>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</si>
  <si>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</si>
  <si>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</si>
  <si>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</si>
  <si>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</si>
  <si>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</si>
  <si>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</si>
  <si>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</si>
  <si>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</si>
  <si>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</si>
  <si>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</si>
  <si>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</si>
  <si>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</si>
  <si>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</si>
  <si>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</si>
  <si>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</si>
  <si>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</si>
  <si>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</si>
  <si>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</si>
  <si>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</si>
  <si>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</si>
  <si>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</si>
  <si>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</si>
  <si>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</si>
  <si>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</si>
  <si>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</si>
  <si>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</si>
  <si>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</si>
  <si>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</si>
  <si>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</si>
  <si>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</si>
  <si>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</si>
  <si>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</si>
  <si>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</si>
  <si>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</si>
  <si>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</si>
  <si>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</si>
  <si>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</si>
  <si>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</si>
  <si>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</si>
  <si>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</si>
  <si>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</si>
  <si>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</si>
  <si>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</si>
  <si>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</si>
  <si>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</si>
  <si>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</si>
  <si>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</si>
  <si>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</si>
  <si>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</si>
  <si>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</si>
  <si>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</si>
  <si>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</si>
  <si>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</si>
  <si>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</si>
  <si>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</si>
  <si>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</si>
  <si>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</si>
  <si>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</si>
  <si>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</si>
  <si>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</si>
  <si>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</si>
  <si>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</si>
  <si>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</si>
  <si>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</si>
  <si>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</si>
  <si>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</si>
  <si>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</si>
  <si>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</si>
  <si>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</si>
  <si>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</si>
  <si>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</si>
  <si>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</si>
  <si>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</si>
  <si>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</si>
  <si>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</si>
  <si>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</si>
  <si>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</si>
  <si>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</si>
  <si>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</si>
  <si>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</si>
  <si>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</si>
  <si>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</si>
  <si>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</si>
  <si>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</si>
  <si>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</si>
  <si>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</si>
  <si>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</si>
  <si>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</si>
  <si>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</si>
  <si>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</si>
  <si>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</si>
  <si>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</si>
  <si>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</si>
  <si>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</si>
  <si>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</si>
  <si>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</si>
  <si>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</si>
  <si>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</si>
  <si>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</si>
  <si>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</si>
  <si>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</si>
  <si>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</si>
  <si>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</si>
  <si>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</si>
  <si>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</si>
  <si>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</si>
  <si>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</si>
  <si>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</si>
  <si>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</si>
  <si>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</si>
  <si>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</si>
  <si>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</si>
  <si>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</si>
  <si>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</si>
  <si>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</si>
  <si>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</si>
  <si>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</si>
  <si>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</si>
  <si>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</si>
  <si>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</si>
  <si>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</si>
  <si>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</si>
  <si>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</si>
  <si>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</si>
  <si>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</si>
  <si>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</si>
  <si>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</si>
  <si>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</si>
  <si>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</si>
  <si>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</si>
  <si>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</si>
  <si>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</si>
  <si>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</si>
  <si>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</si>
  <si>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</si>
  <si>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</si>
  <si>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</si>
  <si>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</si>
  <si>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</si>
  <si>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</si>
  <si>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</si>
  <si>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</si>
  <si>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</si>
  <si>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</si>
  <si>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</si>
  <si>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</si>
  <si>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</si>
  <si>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</si>
  <si>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</si>
  <si>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</si>
  <si>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</si>
  <si>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</si>
  <si>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</si>
  <si>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</si>
  <si>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</si>
  <si>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</si>
  <si>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</si>
  <si>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</si>
  <si>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</si>
  <si>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</si>
  <si>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</si>
  <si>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</si>
  <si>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</si>
  <si>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</si>
  <si>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</si>
  <si>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</si>
  <si>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</si>
  <si>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</si>
  <si>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</si>
  <si>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</si>
  <si>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</si>
  <si>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</si>
  <si>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</si>
  <si>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</si>
  <si>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</si>
  <si>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</si>
  <si>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</si>
  <si>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</si>
  <si>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</si>
  <si>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</si>
  <si>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</si>
  <si>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</si>
  <si>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</si>
  <si>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</si>
  <si>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</si>
  <si>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</si>
  <si>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</si>
  <si>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</si>
  <si>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</si>
  <si>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</si>
  <si>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</si>
  <si>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</si>
  <si>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</si>
  <si>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</si>
  <si>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</si>
  <si>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</si>
  <si>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</si>
  <si>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</si>
  <si>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</si>
  <si>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</si>
  <si>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</si>
  <si>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</si>
  <si>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</si>
  <si>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</si>
  <si>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</si>
  <si>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</si>
  <si>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</si>
  <si>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</si>
  <si>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</si>
  <si>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</si>
  <si>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</si>
  <si>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</si>
  <si>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</si>
  <si>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</si>
  <si>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</si>
  <si>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</si>
  <si>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</si>
  <si>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</si>
  <si>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</si>
  <si>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</si>
  <si>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</si>
  <si>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</si>
  <si>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</si>
  <si>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</si>
  <si>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</si>
  <si>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</si>
  <si>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</si>
  <si>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</si>
  <si>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</si>
  <si>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</si>
  <si>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</si>
  <si>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</si>
  <si>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</si>
  <si>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</si>
  <si>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</si>
  <si>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</si>
  <si>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</si>
  <si>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</si>
  <si>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</si>
  <si>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</si>
  <si>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</si>
  <si>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</si>
  <si>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</si>
  <si>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</si>
  <si>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</si>
  <si>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</si>
  <si>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</si>
  <si>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</si>
  <si>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</si>
  <si>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</si>
  <si>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</si>
  <si>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</si>
  <si>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</si>
  <si>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</si>
  <si>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</si>
  <si>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</si>
  <si>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</si>
  <si>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</si>
  <si>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</si>
  <si>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</si>
  <si>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</si>
  <si>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</si>
  <si>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</si>
  <si>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</si>
  <si>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</si>
  <si>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</si>
  <si>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</si>
  <si>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</si>
  <si>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</si>
  <si>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</si>
  <si>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</si>
  <si>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</si>
  <si>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</si>
  <si>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</si>
  <si>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</si>
  <si>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</si>
  <si>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</si>
  <si>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</si>
  <si>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</si>
  <si>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</si>
  <si>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</si>
  <si>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</si>
  <si>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</si>
  <si>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</si>
  <si>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</si>
  <si>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</si>
  <si>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</si>
  <si>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</si>
  <si>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</si>
  <si>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</si>
  <si>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</si>
  <si>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</si>
  <si>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</si>
  <si>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</si>
  <si>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</si>
  <si>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</si>
  <si>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</si>
  <si>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</si>
  <si>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</si>
  <si>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</si>
  <si>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</si>
  <si>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</si>
  <si>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</si>
  <si>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</si>
  <si>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</si>
  <si>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</si>
  <si>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</si>
  <si>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</si>
  <si>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</si>
  <si>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</si>
  <si>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</si>
  <si>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</si>
  <si>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</si>
  <si>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</si>
  <si>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</si>
  <si>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</si>
  <si>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</si>
  <si>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</si>
  <si>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</si>
  <si>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</si>
  <si>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</si>
  <si>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</si>
  <si>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</si>
  <si>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</si>
  <si>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</si>
  <si>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</si>
  <si>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</si>
  <si>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</si>
  <si>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</si>
  <si>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</si>
  <si>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</si>
  <si>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</si>
  <si>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</si>
  <si>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</si>
  <si>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</si>
  <si>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</si>
  <si>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</si>
  <si>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</si>
  <si>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</si>
  <si>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</si>
  <si>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</si>
  <si>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</si>
  <si>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</si>
  <si>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</si>
  <si>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</si>
  <si>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</si>
  <si>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</si>
  <si>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</si>
  <si>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</si>
  <si>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</si>
  <si>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</si>
  <si>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</si>
  <si>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</si>
  <si>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</si>
  <si>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</si>
  <si>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</si>
  <si>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</si>
  <si>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</si>
  <si>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</si>
  <si>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</si>
  <si>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</si>
  <si>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</si>
  <si>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</si>
  <si>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</si>
  <si>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</si>
  <si>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</si>
  <si>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</si>
  <si>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</si>
  <si>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</si>
  <si>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</si>
  <si>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</si>
  <si>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</si>
  <si>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</si>
  <si>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</si>
  <si>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</si>
  <si>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</si>
  <si>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</si>
  <si>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</si>
  <si>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</si>
  <si>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</si>
  <si>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</si>
  <si>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</si>
  <si>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</si>
  <si>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</si>
  <si>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</si>
  <si>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</si>
  <si>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</si>
  <si>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</si>
  <si>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</si>
  <si>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</si>
  <si>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</si>
  <si>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</si>
  <si>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</si>
  <si>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</si>
  <si>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</si>
  <si>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</si>
  <si>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</si>
  <si>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</si>
  <si>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</si>
  <si>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</si>
  <si>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</si>
  <si>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</si>
  <si>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</si>
  <si>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</si>
  <si>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</si>
  <si>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</si>
  <si>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</si>
  <si>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</si>
  <si>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</si>
  <si>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</si>
  <si>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</si>
  <si>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</si>
  <si>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</si>
  <si>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</si>
  <si>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</si>
  <si>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</si>
  <si>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</si>
  <si>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</si>
  <si>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</si>
  <si>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</si>
  <si>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</si>
  <si>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</si>
  <si>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</si>
  <si>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</si>
  <si>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</si>
  <si>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</si>
  <si>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</si>
  <si>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</si>
  <si>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</si>
  <si>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</si>
  <si>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</si>
  <si>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</si>
  <si>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</si>
  <si>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</si>
  <si>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</si>
  <si>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</si>
  <si>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</si>
  <si>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</si>
  <si>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</si>
  <si>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</si>
  <si>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</si>
  <si>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</si>
  <si>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</si>
  <si>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</si>
  <si>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</si>
  <si>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</si>
  <si>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</si>
  <si>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</si>
  <si>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</si>
  <si>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</si>
  <si>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</si>
  <si>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</si>
  <si>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</si>
  <si>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</si>
  <si>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</si>
  <si>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</si>
  <si>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</si>
  <si>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</si>
  <si>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</si>
  <si>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</si>
  <si>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</si>
  <si>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</si>
  <si>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</si>
  <si>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</si>
  <si>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</si>
  <si>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</si>
  <si>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</si>
  <si>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</si>
  <si>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</si>
  <si>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</si>
  <si>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</si>
  <si>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</si>
  <si>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</si>
  <si>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</si>
  <si>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</si>
  <si>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</si>
  <si>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</si>
  <si>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</si>
  <si>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</si>
  <si>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</si>
  <si>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</si>
  <si>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</si>
  <si>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</si>
  <si>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</si>
  <si>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</si>
  <si>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</si>
  <si>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</si>
  <si>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</si>
  <si>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</si>
  <si>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</si>
  <si>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</si>
  <si>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</si>
  <si>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</si>
  <si>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</si>
  <si>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</si>
  <si>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</si>
  <si>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</si>
  <si>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</si>
  <si>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</si>
  <si>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</si>
  <si>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</si>
  <si>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</si>
  <si>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</si>
  <si>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</si>
  <si>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</si>
  <si>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</si>
  <si>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</si>
  <si>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</si>
  <si>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</si>
  <si>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</si>
  <si>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</si>
  <si>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</si>
  <si>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</si>
  <si>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</si>
  <si>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</si>
  <si>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</si>
  <si>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</si>
  <si>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</si>
  <si>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</si>
  <si>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</si>
  <si>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</si>
  <si>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</si>
  <si>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</si>
  <si>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</si>
  <si>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</si>
  <si>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</si>
  <si>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</si>
  <si>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</si>
  <si>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</si>
  <si>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</si>
  <si>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</si>
  <si>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</si>
  <si>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</si>
  <si>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</si>
  <si>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</si>
  <si>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</si>
  <si>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</si>
  <si>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</si>
  <si>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</si>
  <si>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</si>
  <si>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</si>
  <si>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</si>
  <si>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</si>
  <si>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</si>
  <si>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</si>
  <si>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</si>
  <si>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</si>
  <si>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</si>
  <si>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</si>
  <si>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</si>
  <si>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</si>
  <si>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</si>
  <si>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</si>
  <si>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</si>
  <si>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</si>
  <si>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</si>
  <si>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</si>
  <si>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</si>
  <si>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</si>
  <si>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</si>
  <si>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</si>
  <si>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</si>
  <si>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</si>
  <si>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</si>
  <si>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</si>
  <si>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</si>
  <si>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</si>
  <si>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</si>
  <si>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</si>
  <si>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</si>
  <si>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</si>
  <si>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</si>
  <si>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</si>
  <si>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</si>
  <si>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</si>
  <si>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</si>
  <si>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</si>
  <si>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</si>
  <si>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</si>
  <si>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</si>
  <si>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</si>
  <si>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</si>
  <si>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</si>
  <si>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</si>
  <si>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</si>
  <si>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</si>
  <si>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</si>
  <si>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</si>
  <si>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</si>
  <si>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</si>
  <si>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</si>
  <si>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</si>
  <si>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</si>
  <si>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</si>
  <si>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</si>
  <si>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</si>
  <si>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</si>
  <si>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</si>
  <si>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</si>
  <si>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</si>
  <si>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</si>
  <si>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</si>
  <si>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</si>
  <si>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</si>
  <si>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</si>
  <si>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</si>
  <si>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</si>
  <si>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</si>
  <si>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</si>
  <si>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</si>
  <si>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</si>
  <si>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</si>
  <si>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</si>
  <si>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</si>
  <si>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</si>
  <si>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</si>
  <si>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</si>
  <si>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</si>
  <si>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</si>
  <si>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</si>
  <si>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</si>
  <si>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</si>
  <si>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</si>
  <si>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</si>
  <si>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</si>
  <si>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</si>
  <si>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</si>
  <si>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</si>
  <si>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</si>
  <si>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</si>
  <si>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</si>
  <si>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</si>
  <si>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</si>
  <si>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</si>
  <si>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</si>
  <si>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</si>
  <si>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</si>
  <si>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</si>
  <si>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</si>
  <si>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</si>
  <si>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</si>
  <si>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</si>
  <si>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</si>
  <si>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</si>
  <si>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</si>
  <si>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</si>
  <si>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</si>
  <si>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</si>
  <si>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</si>
  <si>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</si>
  <si>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</si>
  <si>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</si>
  <si>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</si>
  <si>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</si>
  <si>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</si>
  <si>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</si>
  <si>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</si>
  <si>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</si>
  <si>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</si>
  <si>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</si>
  <si>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</si>
  <si>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</si>
  <si>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</si>
  <si>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</si>
  <si>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</si>
  <si>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</si>
  <si>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</si>
  <si>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</si>
  <si>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</si>
  <si>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</si>
  <si>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</si>
  <si>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</si>
  <si>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</si>
  <si>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</si>
  <si>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</si>
  <si>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</si>
  <si>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</si>
  <si>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</si>
  <si>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</si>
  <si>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</si>
  <si>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</si>
  <si>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</si>
  <si>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</si>
  <si>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</si>
  <si>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</si>
  <si>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</si>
  <si>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</si>
  <si>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</si>
  <si>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</si>
  <si>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</si>
  <si>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</si>
  <si>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</si>
  <si>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</si>
  <si>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</si>
  <si>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</si>
  <si>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</si>
  <si>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</si>
  <si>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</si>
  <si>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</si>
  <si>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</si>
  <si>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</si>
  <si>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</si>
  <si>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</si>
  <si>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</si>
  <si>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</si>
  <si>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</si>
  <si>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</si>
  <si>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</si>
  <si>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</si>
  <si>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</si>
  <si>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</si>
  <si>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</si>
  <si>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</si>
  <si>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</si>
  <si>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</si>
  <si>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</si>
  <si>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</si>
  <si>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</si>
  <si>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</si>
  <si>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</si>
  <si>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</si>
  <si>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</si>
  <si>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</si>
  <si>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</si>
  <si>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</si>
  <si>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</si>
  <si>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</si>
  <si>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</si>
  <si>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</si>
  <si>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</si>
  <si>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</si>
  <si>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</si>
  <si>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</si>
  <si>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</si>
  <si>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</si>
  <si>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</si>
  <si>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</si>
  <si>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</si>
  <si>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</si>
  <si>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</si>
  <si>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</si>
  <si>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</si>
  <si>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</si>
  <si>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</si>
  <si>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</si>
  <si>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</si>
  <si>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</si>
  <si>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</si>
  <si>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</si>
  <si>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</si>
  <si>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</si>
  <si>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</si>
  <si>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</si>
  <si>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</si>
  <si>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</si>
  <si>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</si>
  <si>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</si>
  <si>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</si>
  <si>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</si>
  <si>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</si>
  <si>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</si>
  <si>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</si>
  <si>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</si>
  <si>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</si>
  <si>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</si>
  <si>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</si>
  <si>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</si>
  <si>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</si>
  <si>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</si>
  <si>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</si>
  <si>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</si>
  <si>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</si>
  <si>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</si>
  <si>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</si>
  <si>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</si>
  <si>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</si>
  <si>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</si>
  <si>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</si>
  <si>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</si>
  <si>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</si>
  <si>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</si>
  <si>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</si>
  <si>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</si>
  <si>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</si>
  <si>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</si>
  <si>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</si>
  <si>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</si>
  <si>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</si>
  <si>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</si>
  <si>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</si>
  <si>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</si>
  <si>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</si>
  <si>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</si>
  <si>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</si>
  <si>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</si>
  <si>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</si>
  <si>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</si>
  <si>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</si>
  <si>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</si>
  <si>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</si>
  <si>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</si>
  <si>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</si>
  <si>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</si>
  <si>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</si>
  <si>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</si>
  <si>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</si>
  <si>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</si>
  <si>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</si>
  <si>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</si>
  <si>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</si>
  <si>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</si>
  <si>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</si>
  <si>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</si>
  <si>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</si>
  <si>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</si>
  <si>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</si>
  <si>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</si>
  <si>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</si>
  <si>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</si>
  <si>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</si>
  <si>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</si>
  <si>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</si>
  <si>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</si>
  <si>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</si>
  <si>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</si>
  <si>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</si>
  <si>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</si>
  <si>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</si>
  <si>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</si>
  <si>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</si>
  <si>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</si>
  <si>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</si>
  <si>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</si>
  <si>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</si>
  <si>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</si>
  <si>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</si>
  <si>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</si>
  <si>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</si>
  <si>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</si>
  <si>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</si>
  <si>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</si>
  <si>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</si>
  <si>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</si>
  <si>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</si>
  <si>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</si>
  <si>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</si>
  <si>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</si>
  <si>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</si>
  <si>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</si>
  <si>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</si>
  <si>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</si>
  <si>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</si>
  <si>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</si>
  <si>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</si>
  <si>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</si>
  <si>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</si>
  <si>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</si>
  <si>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</si>
  <si>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</si>
  <si>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</si>
  <si>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</si>
  <si>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</si>
  <si>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</si>
  <si>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</si>
  <si>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</si>
  <si>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</si>
  <si>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</si>
  <si>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</si>
  <si>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</si>
  <si>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</si>
  <si>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</si>
  <si>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</si>
  <si>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</si>
  <si>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</si>
  <si>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</si>
  <si>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</si>
  <si>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</si>
  <si>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</si>
  <si>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</si>
  <si>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</si>
  <si>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</si>
  <si>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</si>
  <si>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</si>
  <si>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</si>
  <si>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</si>
  <si>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</si>
  <si>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</si>
  <si>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</si>
  <si>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</si>
  <si>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</si>
  <si>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</si>
  <si>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</si>
  <si>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</si>
  <si>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</si>
  <si>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</si>
  <si>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</si>
  <si>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</si>
  <si>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</si>
  <si>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</si>
  <si>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</si>
  <si>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</si>
  <si>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</si>
  <si>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</si>
  <si>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</si>
  <si>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</si>
  <si>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</si>
  <si>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</si>
  <si>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</si>
  <si>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</si>
  <si>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</si>
  <si>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</si>
  <si>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</si>
  <si>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</si>
  <si>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</si>
  <si>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</si>
  <si>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</si>
  <si>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</si>
  <si>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</si>
  <si>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</si>
  <si>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</si>
  <si>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</si>
  <si>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</si>
  <si>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</si>
  <si>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</si>
  <si>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</si>
  <si>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</si>
  <si>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</si>
  <si>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</si>
  <si>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</si>
  <si>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</si>
  <si>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</si>
  <si>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</si>
  <si>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</si>
  <si>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</si>
  <si>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</si>
  <si>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</si>
  <si>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</si>
  <si>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</si>
  <si>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</si>
  <si>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</si>
  <si>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</si>
  <si>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</si>
  <si>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</si>
  <si>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</si>
  <si>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</si>
  <si>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</si>
  <si>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</si>
  <si>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</si>
  <si>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</si>
  <si>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</si>
  <si>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</si>
  <si>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</si>
  <si>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</si>
  <si>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</si>
  <si>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</si>
  <si>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</si>
  <si>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</si>
  <si>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</si>
  <si>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</si>
  <si>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</si>
  <si>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</si>
  <si>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</si>
  <si>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</si>
  <si>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</si>
  <si>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</si>
  <si>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</si>
  <si>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</si>
  <si>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</si>
  <si>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</si>
  <si>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</si>
  <si>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</si>
  <si>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</si>
  <si>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</si>
  <si>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</si>
  <si>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</si>
  <si>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</si>
  <si>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</si>
  <si>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</si>
  <si>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</si>
  <si>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</si>
  <si>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</si>
  <si>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</si>
  <si>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</si>
  <si>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</si>
  <si>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</si>
  <si>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</si>
  <si>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</si>
  <si>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</si>
  <si>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</si>
  <si>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</si>
  <si>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</si>
  <si>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</si>
  <si>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</si>
  <si>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</si>
  <si>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</si>
  <si>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</si>
  <si>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</si>
  <si>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</si>
  <si>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</si>
  <si>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</si>
  <si>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</si>
  <si>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</si>
  <si>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</si>
  <si>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</si>
  <si>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</si>
  <si>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</si>
  <si>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</si>
  <si>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</si>
  <si>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</si>
  <si>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</si>
  <si>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</si>
  <si>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</si>
  <si>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</si>
  <si>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</si>
  <si>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</si>
  <si>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</si>
  <si>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</si>
  <si>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</si>
  <si>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</si>
  <si>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</si>
  <si>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</si>
  <si>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</si>
  <si>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</si>
  <si>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</si>
  <si>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</si>
  <si>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</si>
  <si>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</si>
  <si>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</si>
  <si>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</si>
  <si>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</si>
  <si>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</si>
  <si>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</si>
  <si>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</si>
  <si>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</si>
  <si>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</si>
  <si>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</si>
  <si>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</si>
  <si>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</si>
  <si>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</si>
  <si>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</si>
  <si>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</si>
  <si>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</si>
  <si>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</si>
  <si>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</si>
  <si>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</si>
  <si>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</si>
  <si>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</si>
  <si>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</si>
  <si>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</si>
  <si>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</si>
  <si>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</si>
  <si>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</si>
  <si>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</si>
  <si>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</si>
  <si>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</si>
  <si>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</si>
  <si>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</si>
  <si>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</si>
  <si>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</si>
  <si>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</si>
  <si>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</si>
  <si>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</si>
  <si>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</si>
  <si>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</si>
  <si>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</si>
  <si>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</si>
  <si>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</si>
  <si>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</si>
  <si>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</si>
  <si>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</si>
  <si>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</si>
  <si>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</si>
  <si>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</si>
  <si>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</si>
  <si>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</si>
  <si>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</si>
  <si>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</si>
  <si>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</si>
  <si>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</si>
  <si>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</si>
  <si>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</si>
  <si>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</si>
  <si>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</si>
  <si>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</si>
  <si>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</si>
  <si>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</si>
  <si>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</si>
  <si>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</si>
  <si>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</si>
  <si>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</si>
  <si>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</si>
  <si>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</si>
  <si>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</si>
  <si>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</si>
  <si>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</si>
  <si>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</si>
  <si>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</si>
  <si>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</si>
  <si>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</si>
  <si>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</si>
  <si>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</si>
  <si>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</si>
  <si>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</si>
  <si>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</si>
  <si>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</si>
  <si>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</si>
  <si>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</si>
  <si>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</si>
  <si>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</si>
  <si>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</si>
  <si>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</si>
  <si>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</si>
  <si>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</si>
  <si>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</si>
  <si>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</si>
  <si>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</si>
  <si>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</si>
  <si>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</si>
  <si>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</si>
  <si>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</si>
  <si>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</si>
  <si>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</si>
  <si>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</si>
  <si>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</si>
  <si>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</si>
  <si>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</si>
  <si>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</si>
  <si>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</si>
  <si>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</si>
  <si>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</si>
  <si>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</si>
  <si>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</si>
  <si>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</si>
  <si>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</si>
  <si>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</si>
  <si>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</si>
  <si>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</si>
  <si>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</si>
  <si>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</si>
  <si>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</si>
  <si>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</si>
  <si>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</si>
  <si>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</si>
  <si>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</si>
  <si>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</si>
  <si>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</si>
  <si>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</si>
  <si>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</si>
  <si>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</si>
  <si>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</si>
  <si>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</si>
  <si>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</si>
  <si>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</si>
  <si>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</si>
  <si>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</si>
  <si>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</si>
  <si>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</si>
  <si>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</si>
  <si>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</si>
  <si>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</si>
  <si>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</si>
  <si>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</si>
  <si>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</si>
  <si>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</si>
  <si>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</si>
  <si>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</si>
  <si>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</si>
  <si>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</si>
  <si>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</si>
  <si>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</si>
  <si>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</si>
  <si>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</si>
  <si>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</si>
  <si>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</si>
  <si>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</si>
  <si>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</si>
  <si>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</si>
  <si>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</si>
  <si>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</si>
  <si>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</si>
  <si>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</si>
  <si>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</si>
  <si>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</si>
  <si>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</si>
  <si>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</si>
  <si>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</si>
  <si>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</si>
  <si>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</si>
  <si>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</si>
  <si>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</si>
  <si>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</si>
  <si>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</si>
  <si>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</si>
  <si>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</si>
  <si>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</si>
  <si>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</si>
  <si>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</si>
  <si>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</si>
  <si>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</si>
  <si>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</si>
  <si>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</si>
  <si>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</si>
  <si>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</si>
  <si>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</si>
  <si>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</si>
  <si>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</si>
  <si>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</si>
  <si>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</si>
  <si>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</si>
  <si>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</si>
  <si>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</si>
  <si>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</si>
  <si>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</si>
  <si>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</si>
  <si>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</si>
  <si>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</si>
  <si>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</si>
  <si>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</si>
  <si>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</si>
  <si>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</si>
  <si>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</si>
  <si>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</si>
  <si>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</si>
  <si>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</si>
  <si>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</si>
  <si>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</si>
  <si>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</si>
  <si>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</si>
  <si>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</si>
  <si>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</si>
  <si>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</si>
  <si>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</si>
  <si>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</si>
  <si>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</si>
  <si>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</si>
  <si>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</si>
  <si>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</si>
  <si>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</si>
  <si>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</si>
  <si>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</si>
  <si>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</si>
  <si>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</si>
  <si>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</si>
  <si>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</si>
  <si>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</si>
  <si>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</si>
  <si>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</si>
  <si>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</si>
  <si>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</si>
  <si>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</si>
  <si>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</si>
  <si>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</si>
  <si>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</si>
  <si>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</si>
  <si>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</si>
  <si>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</si>
  <si>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</si>
  <si>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</si>
  <si>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</si>
  <si>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</si>
  <si>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</si>
  <si>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</si>
  <si>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</si>
  <si>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</si>
  <si>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</si>
  <si>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</si>
  <si>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</si>
  <si>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</si>
  <si>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</si>
  <si>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</si>
  <si>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</si>
  <si>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</si>
  <si>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</si>
  <si>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</si>
  <si>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</si>
  <si>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</si>
  <si>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</si>
  <si>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</si>
  <si>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</si>
  <si>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</si>
  <si>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</si>
  <si>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</si>
  <si>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</si>
  <si>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</si>
  <si>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</si>
  <si>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</si>
  <si>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</si>
  <si>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</si>
  <si>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</si>
  <si>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</si>
  <si>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</si>
  <si>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</si>
  <si>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</si>
  <si>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</si>
  <si>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</si>
  <si>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</si>
  <si>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</si>
  <si>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</si>
  <si>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</si>
  <si>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</si>
  <si>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</si>
  <si>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</si>
  <si>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</si>
  <si>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</si>
  <si>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</si>
  <si>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</si>
  <si>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</si>
  <si>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</si>
  <si>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</si>
  <si>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</si>
  <si>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</si>
  <si>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</si>
  <si>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</si>
  <si>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</si>
  <si>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</si>
  <si>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</si>
  <si>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</si>
  <si>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</si>
  <si>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</si>
  <si>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</si>
  <si>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</si>
  <si>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</si>
  <si>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</si>
  <si>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</si>
  <si>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</si>
  <si>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</si>
  <si>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</si>
  <si>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</si>
  <si>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</si>
  <si>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</si>
  <si>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</si>
  <si>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</si>
  <si>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</si>
  <si>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</si>
  <si>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</si>
  <si>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</si>
  <si>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</si>
  <si>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</si>
  <si>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</si>
  <si>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</si>
  <si>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</si>
  <si>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</si>
  <si>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</si>
  <si>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</si>
  <si>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</si>
  <si>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</si>
  <si>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</si>
  <si>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</si>
  <si>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</si>
  <si>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</si>
  <si>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</si>
  <si>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</si>
  <si>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</si>
  <si>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</si>
  <si>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</si>
  <si>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</si>
  <si>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</si>
  <si>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</si>
  <si>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</si>
  <si>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</si>
  <si>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</si>
  <si>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</si>
  <si>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</si>
  <si>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</si>
  <si>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</si>
  <si>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</si>
  <si>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</si>
  <si>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</si>
  <si>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</si>
  <si>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</si>
  <si>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</si>
  <si>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</si>
  <si>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</si>
  <si>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</si>
  <si>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</si>
  <si>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</si>
  <si>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</si>
  <si>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</si>
  <si>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</si>
  <si>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</si>
  <si>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</si>
  <si>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</si>
  <si>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</si>
  <si>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</si>
  <si>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</si>
  <si>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</si>
  <si>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</si>
  <si>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</si>
  <si>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</si>
  <si>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</si>
  <si>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</si>
  <si>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</si>
  <si>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</si>
  <si>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</si>
  <si>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</si>
  <si>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</si>
  <si>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</si>
  <si>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</si>
  <si>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</si>
  <si>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</si>
  <si>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</si>
  <si>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</si>
  <si>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</si>
  <si>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</si>
  <si>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</si>
  <si>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</si>
  <si>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</si>
  <si>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</si>
  <si>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</si>
  <si>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</si>
  <si>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</si>
  <si>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</si>
  <si>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</si>
  <si>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</si>
  <si>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</si>
  <si>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</si>
  <si>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</si>
  <si>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</si>
  <si>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</si>
  <si>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</si>
  <si>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</si>
  <si>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</si>
  <si>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</si>
  <si>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</si>
  <si>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</si>
  <si>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</si>
  <si>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</si>
  <si>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</si>
  <si>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</si>
  <si>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</si>
  <si>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</si>
  <si>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</si>
  <si>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</si>
  <si>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</si>
  <si>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</si>
  <si>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</si>
  <si>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</si>
  <si>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</si>
  <si>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</si>
  <si>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</si>
  <si>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</si>
  <si>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</si>
  <si>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</si>
  <si>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</si>
  <si>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</si>
  <si>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</si>
  <si>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</si>
  <si>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</si>
  <si>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</si>
  <si>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</si>
  <si>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</si>
  <si>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</si>
  <si>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</si>
  <si>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</si>
  <si>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</si>
  <si>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</si>
  <si>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</si>
  <si>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</si>
  <si>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</si>
  <si>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</si>
  <si>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</si>
  <si>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</si>
  <si>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</si>
  <si>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</si>
  <si>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</si>
  <si>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</si>
  <si>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</si>
  <si>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</si>
  <si>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</si>
  <si>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</si>
  <si>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</si>
  <si>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</si>
  <si>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</si>
  <si>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</si>
  <si>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</si>
  <si>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</si>
  <si>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</si>
  <si>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</si>
  <si>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</si>
  <si>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</si>
  <si>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</si>
  <si>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</si>
  <si>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</si>
  <si>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</si>
  <si>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</si>
  <si>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</si>
  <si>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</si>
  <si>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</si>
  <si>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</si>
  <si>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</si>
  <si>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</si>
  <si>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</si>
  <si>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</si>
  <si>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</si>
  <si>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</si>
  <si>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</si>
  <si>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</si>
  <si>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</si>
  <si>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</si>
  <si>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</si>
  <si>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</si>
  <si>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</si>
  <si>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</si>
  <si>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</si>
  <si>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</si>
  <si>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</si>
  <si>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</si>
  <si>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</si>
  <si>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</si>
  <si>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</si>
  <si>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</si>
  <si>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</si>
  <si>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</si>
  <si>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</si>
  <si>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</si>
  <si>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</si>
  <si>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</si>
  <si>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</si>
  <si>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</si>
  <si>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</si>
  <si>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</si>
  <si>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</si>
  <si>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</si>
  <si>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</si>
  <si>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</si>
  <si>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</si>
  <si>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</si>
  <si>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</si>
  <si>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</si>
  <si>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</si>
  <si>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</si>
  <si>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</si>
  <si>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</si>
  <si>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</si>
  <si>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</si>
  <si>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</si>
  <si>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</si>
  <si>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</si>
  <si>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</si>
  <si>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</si>
  <si>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</si>
  <si>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</si>
  <si>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</si>
  <si>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</si>
  <si>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</si>
  <si>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</si>
  <si>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</si>
  <si>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</si>
  <si>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</si>
  <si>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</si>
  <si>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</si>
  <si>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</si>
  <si>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</si>
  <si>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</si>
  <si>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</si>
  <si>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</si>
  <si>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</si>
  <si>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</si>
  <si>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</si>
  <si>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</si>
  <si>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</si>
  <si>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</si>
  <si>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</si>
  <si>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</si>
  <si>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</si>
  <si>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</si>
  <si>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</si>
  <si>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</si>
  <si>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</si>
  <si>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</si>
  <si>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</si>
  <si>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</si>
  <si>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</si>
  <si>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</si>
  <si>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</si>
  <si>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</si>
  <si>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</si>
  <si>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</si>
  <si>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</si>
  <si>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</si>
  <si>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</si>
  <si>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</si>
  <si>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</si>
  <si>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</si>
  <si>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</si>
  <si>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</si>
  <si>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</si>
  <si>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</si>
  <si>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</si>
  <si>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</si>
  <si>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</si>
  <si>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</si>
  <si>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</si>
  <si>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</si>
  <si>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</si>
  <si>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</si>
  <si>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</si>
  <si>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</si>
  <si>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</si>
  <si>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</si>
  <si>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</si>
  <si>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</si>
  <si>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</si>
  <si>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</si>
  <si>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</si>
  <si>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</si>
  <si>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</si>
  <si>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</si>
  <si>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</si>
  <si>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</si>
  <si>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</si>
  <si>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</si>
  <si>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</si>
  <si>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</si>
  <si>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</si>
  <si>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</si>
  <si>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</si>
  <si>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</si>
  <si>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</si>
  <si>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</si>
  <si>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</si>
  <si>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</si>
  <si>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</si>
  <si>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</si>
  <si>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</si>
  <si>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</si>
  <si>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</si>
  <si>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</si>
  <si>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</si>
  <si>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</si>
  <si>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</si>
  <si>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</si>
  <si>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</si>
  <si>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</si>
  <si>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</si>
  <si>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</si>
  <si>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</si>
  <si>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</si>
  <si>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</si>
  <si>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</si>
  <si>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</si>
  <si>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</si>
  <si>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</si>
  <si>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</si>
  <si>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</si>
  <si>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</si>
  <si>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</si>
  <si>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</si>
  <si>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</si>
  <si>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</si>
  <si>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</si>
  <si>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</si>
  <si>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</si>
  <si>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</si>
  <si>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</si>
  <si>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</si>
  <si>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</si>
  <si>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</si>
  <si>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</si>
  <si>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</si>
  <si>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</si>
  <si>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</si>
  <si>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</si>
  <si>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</si>
  <si>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</si>
  <si>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</si>
  <si>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</si>
  <si>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</si>
  <si>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</si>
  <si>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</si>
  <si>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</si>
  <si>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</si>
  <si>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</si>
  <si>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</si>
  <si>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</si>
  <si>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</si>
  <si>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</si>
  <si>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</si>
  <si>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</si>
  <si>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</si>
  <si>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</si>
  <si>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</si>
  <si>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</si>
  <si>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</si>
  <si>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</si>
  <si>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</si>
  <si>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</si>
  <si>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</si>
  <si>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</si>
  <si>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</si>
  <si>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</si>
  <si>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</si>
  <si>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</si>
  <si>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</si>
  <si>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</si>
  <si>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</si>
  <si>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</si>
  <si>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</si>
  <si>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</si>
  <si>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</si>
  <si>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</si>
  <si>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</si>
  <si>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</si>
  <si>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</si>
  <si>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</si>
  <si>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</si>
  <si>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</si>
  <si>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</si>
  <si>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</si>
  <si>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</si>
  <si>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</si>
  <si>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</si>
  <si>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</si>
  <si>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</si>
  <si>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</si>
  <si>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</si>
  <si>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</si>
  <si>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</si>
  <si>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</si>
  <si>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</si>
  <si>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</si>
  <si>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</si>
  <si>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</si>
  <si>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</si>
  <si>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</si>
  <si>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</si>
  <si>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</si>
  <si>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</si>
  <si>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</si>
  <si>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</si>
  <si>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</si>
  <si>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</si>
  <si>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</si>
  <si>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</si>
  <si>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</si>
  <si>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</si>
  <si>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</si>
  <si>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</si>
  <si>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</si>
  <si>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</si>
  <si>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</si>
  <si>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</si>
  <si>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</si>
  <si>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</si>
  <si>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</si>
  <si>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</si>
  <si>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</si>
  <si>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</si>
  <si>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</si>
  <si>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</si>
  <si>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</si>
  <si>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</si>
  <si>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</si>
  <si>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</si>
  <si>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</si>
  <si>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</si>
  <si>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</si>
  <si>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</si>
  <si>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</si>
  <si>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</si>
  <si>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</si>
  <si>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</si>
  <si>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</si>
  <si>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</si>
  <si>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</si>
  <si>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</si>
  <si>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</si>
  <si>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</si>
  <si>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</si>
  <si>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</si>
  <si>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</si>
  <si>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</si>
  <si>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</si>
  <si>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</si>
  <si>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</si>
  <si>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</si>
  <si>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</si>
  <si>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</si>
  <si>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</si>
  <si>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</si>
  <si>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</si>
  <si>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</si>
  <si>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</si>
  <si>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</si>
  <si>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</si>
  <si>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</si>
  <si>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</si>
  <si>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</si>
  <si>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</si>
  <si>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</si>
  <si>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</si>
  <si>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</si>
  <si>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</si>
  <si>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</si>
  <si>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</si>
  <si>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</si>
  <si>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</si>
  <si>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</si>
  <si>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</si>
  <si>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</si>
  <si>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</si>
  <si>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</si>
  <si>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</si>
  <si>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</si>
  <si>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</si>
  <si>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</si>
  <si>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</si>
  <si>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</si>
  <si>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</si>
  <si>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</si>
  <si>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</si>
  <si>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</si>
  <si>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</si>
  <si>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</si>
  <si>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</si>
  <si>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</si>
  <si>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</si>
  <si>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</si>
  <si>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</si>
  <si>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</si>
  <si>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</si>
  <si>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</si>
  <si>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</si>
  <si>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</si>
  <si>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</si>
  <si>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</si>
  <si>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</si>
  <si>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</si>
  <si>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</si>
  <si>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</si>
  <si>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</si>
  <si>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</si>
  <si>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</si>
  <si>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</si>
  <si>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</si>
  <si>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</si>
  <si>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</si>
  <si>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</si>
  <si>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</si>
  <si>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</si>
  <si>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</si>
  <si>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</si>
  <si>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</si>
  <si>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</si>
  <si>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</si>
  <si>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</si>
  <si>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</si>
  <si>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</si>
  <si>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</si>
  <si>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</si>
  <si>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</si>
  <si>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</si>
  <si>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</si>
  <si>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</si>
  <si>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</si>
  <si>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</si>
  <si>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</si>
  <si>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</si>
  <si>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</si>
  <si>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</si>
  <si>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</si>
  <si>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</si>
  <si>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</si>
  <si>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</si>
  <si>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</si>
  <si>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</si>
  <si>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</si>
  <si>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</si>
  <si>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</si>
  <si>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</si>
  <si>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</si>
  <si>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</si>
  <si>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</si>
  <si>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</si>
  <si>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</si>
  <si>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</si>
  <si>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</si>
  <si>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</si>
  <si>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</si>
  <si>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</si>
  <si>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</si>
  <si>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</si>
  <si>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</si>
  <si>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</si>
  <si>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</si>
  <si>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</si>
  <si>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</si>
  <si>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</si>
  <si>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</si>
  <si>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</si>
  <si>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</si>
  <si>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</si>
  <si>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</si>
  <si>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</si>
  <si>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</si>
  <si>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</si>
  <si>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</si>
  <si>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</si>
  <si>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</si>
  <si>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</si>
  <si>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</si>
  <si>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</si>
  <si>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</si>
  <si>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</si>
  <si>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</si>
  <si>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</si>
  <si>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</si>
  <si>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</si>
  <si>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</si>
  <si>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</si>
  <si>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</si>
  <si>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</si>
  <si>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</si>
  <si>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</si>
  <si>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</si>
  <si>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</si>
  <si>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</si>
  <si>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</si>
  <si>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</si>
  <si>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</si>
  <si>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</si>
  <si>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</si>
  <si>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</si>
  <si>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</si>
  <si>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</si>
  <si>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</si>
  <si>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</si>
  <si>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</si>
  <si>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</si>
  <si>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</si>
  <si>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</si>
  <si>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</si>
  <si>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</si>
  <si>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</si>
  <si>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</si>
  <si>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</si>
  <si>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</si>
  <si>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</si>
  <si>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</si>
  <si>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</si>
  <si>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</si>
  <si>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</si>
  <si>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</si>
  <si>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</si>
  <si>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</si>
  <si>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</si>
  <si>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</si>
  <si>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</si>
  <si>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</si>
  <si>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</si>
  <si>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</si>
  <si>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</si>
  <si>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</si>
  <si>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</si>
  <si>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</si>
  <si>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</si>
  <si>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</si>
  <si>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</si>
  <si>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</si>
  <si>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</si>
  <si>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</si>
  <si>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</si>
  <si>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</si>
  <si>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</si>
  <si>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</si>
  <si>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</si>
  <si>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</si>
  <si>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</si>
  <si>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</si>
  <si>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</si>
  <si>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</si>
  <si>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</si>
  <si>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</si>
  <si>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</si>
  <si>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</si>
  <si>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</si>
  <si>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</si>
  <si>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</si>
  <si>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</si>
  <si>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</si>
  <si>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</si>
  <si>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</si>
  <si>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</si>
  <si>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</si>
  <si>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</si>
  <si>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</si>
  <si>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</si>
  <si>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</si>
  <si>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</si>
  <si>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</si>
  <si>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</si>
  <si>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</si>
  <si>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</si>
  <si>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</si>
  <si>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</si>
  <si>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</si>
  <si>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</si>
  <si>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</si>
  <si>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</si>
  <si>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</si>
  <si>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</si>
  <si>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</si>
  <si>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</si>
  <si>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</si>
  <si>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</si>
  <si>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</si>
  <si>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</si>
  <si>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</si>
  <si>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</si>
  <si>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</si>
  <si>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</si>
  <si>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</si>
  <si>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</si>
  <si>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</si>
  <si>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</si>
  <si>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</si>
  <si>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</si>
  <si>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</si>
  <si>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</si>
  <si>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</si>
  <si>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</si>
  <si>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</si>
  <si>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</si>
  <si>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</si>
  <si>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</si>
  <si>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</si>
  <si>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</si>
  <si>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</si>
  <si>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</si>
  <si>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</si>
  <si>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</si>
  <si>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</si>
  <si>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</si>
  <si>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</si>
  <si>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</si>
  <si>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</si>
  <si>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</si>
  <si>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</si>
  <si>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</si>
  <si>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</si>
  <si>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</si>
  <si>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</si>
  <si>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</si>
  <si>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</si>
  <si>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</si>
  <si>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</si>
  <si>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</si>
  <si>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</si>
  <si>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</si>
  <si>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</si>
  <si>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</si>
  <si>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</si>
  <si>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</si>
  <si>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</si>
  <si>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</si>
  <si>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</si>
  <si>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</si>
  <si>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</si>
  <si>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</si>
  <si>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</si>
  <si>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</si>
  <si>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</si>
  <si>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</si>
  <si>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</si>
  <si>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</si>
  <si>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</si>
  <si>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</si>
  <si>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</si>
  <si>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</si>
  <si>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</si>
  <si>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</si>
  <si>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</si>
  <si>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</si>
  <si>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</si>
  <si>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</si>
  <si>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</si>
  <si>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</si>
  <si>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</si>
  <si>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</si>
  <si>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</si>
  <si>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</si>
  <si>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</si>
  <si>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</si>
  <si>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</si>
  <si>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</si>
  <si>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</si>
  <si>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</si>
  <si>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</si>
  <si>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</si>
  <si>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</si>
  <si>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</si>
  <si>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</si>
  <si>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</si>
  <si>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</si>
  <si>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</si>
  <si>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</si>
  <si>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</si>
  <si>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</si>
  <si>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</si>
  <si>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</si>
  <si>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</si>
  <si>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</si>
  <si>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</si>
  <si>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</si>
  <si>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</si>
  <si>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</si>
  <si>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</si>
  <si>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</si>
  <si>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</si>
  <si>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</si>
  <si>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</si>
  <si>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</si>
  <si>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</si>
  <si>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</si>
  <si>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</si>
  <si>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</si>
  <si>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</si>
  <si>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</si>
  <si>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</si>
  <si>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</si>
  <si>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</si>
  <si>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</si>
  <si>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</si>
  <si>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</si>
  <si>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</si>
  <si>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</si>
  <si>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</si>
  <si>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</si>
  <si>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</si>
  <si>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</si>
  <si>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</si>
  <si>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</si>
  <si>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</si>
  <si>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</si>
  <si>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</si>
  <si>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</si>
  <si>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</si>
  <si>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</si>
  <si>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</si>
  <si>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</si>
  <si>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</si>
  <si>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</si>
  <si>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</si>
  <si>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</si>
  <si>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</si>
  <si>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</si>
  <si>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</si>
  <si>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</si>
  <si>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</si>
  <si>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</si>
  <si>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</si>
  <si>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</si>
  <si>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</si>
  <si>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</si>
  <si>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</si>
  <si>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</si>
  <si>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</si>
  <si>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</si>
  <si>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</si>
  <si>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</si>
  <si>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</si>
  <si>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</si>
  <si>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</si>
  <si>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</si>
  <si>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</si>
  <si>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</si>
  <si>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</si>
  <si>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</si>
  <si>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</si>
  <si>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</si>
  <si>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</si>
  <si>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</si>
  <si>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</si>
  <si>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</si>
  <si>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</si>
  <si>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</si>
  <si>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</si>
  <si>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</si>
  <si>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</si>
  <si>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</si>
  <si>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</si>
  <si>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</si>
  <si>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</si>
  <si>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</si>
  <si>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</si>
  <si>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</si>
  <si>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</si>
  <si>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</si>
  <si>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</si>
  <si>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</si>
  <si>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</si>
  <si>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</si>
  <si>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</si>
  <si>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</si>
  <si>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</si>
  <si>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</si>
  <si>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</si>
  <si>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</si>
  <si>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</si>
  <si>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</si>
  <si>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</si>
  <si>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</si>
  <si>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</si>
  <si>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</si>
  <si>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</si>
  <si>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</si>
  <si>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</si>
  <si>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</si>
  <si>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</si>
  <si>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</si>
  <si>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</si>
  <si>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</si>
  <si>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</si>
  <si>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</si>
  <si>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</si>
  <si>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</si>
  <si>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</si>
  <si>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</si>
  <si>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</si>
  <si>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</si>
  <si>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</si>
  <si>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</si>
  <si>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</si>
  <si>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</si>
  <si>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</si>
  <si>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</si>
  <si>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</si>
  <si>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</si>
  <si>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</si>
  <si>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</si>
  <si>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</si>
  <si>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</si>
  <si>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</si>
  <si>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</si>
  <si>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</si>
  <si>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</si>
  <si>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</si>
  <si>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</si>
  <si>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</si>
  <si>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</si>
  <si>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</si>
  <si>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</si>
  <si>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</si>
  <si>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</si>
  <si>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</si>
  <si>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</si>
  <si>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</si>
  <si>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</si>
  <si>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</si>
  <si>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</si>
  <si>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</si>
  <si>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</si>
  <si>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</si>
  <si>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</si>
  <si>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</si>
  <si>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</si>
  <si>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</si>
  <si>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</si>
  <si>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</si>
  <si>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</si>
  <si>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</si>
  <si>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</si>
  <si>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</si>
  <si>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</si>
  <si>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</si>
  <si>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</si>
  <si>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</si>
  <si>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</si>
  <si>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</si>
  <si>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</si>
  <si>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</si>
  <si>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</si>
  <si>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</si>
  <si>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</si>
  <si>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</si>
  <si>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</si>
  <si>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</si>
  <si>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</si>
  <si>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</si>
  <si>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</si>
  <si>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</si>
  <si>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</si>
  <si>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</si>
  <si>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</si>
  <si>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</si>
  <si>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</si>
  <si>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</si>
  <si>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</si>
  <si>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</si>
  <si>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</si>
  <si>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</si>
  <si>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</si>
  <si>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</si>
  <si>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</si>
  <si>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</si>
  <si>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</si>
  <si>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</si>
  <si>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</si>
  <si>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</si>
  <si>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</si>
  <si>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</si>
  <si>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</si>
  <si>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</si>
  <si>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</si>
  <si>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</si>
  <si>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</si>
  <si>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</si>
  <si>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</si>
  <si>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</si>
  <si>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</si>
  <si>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</si>
  <si>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</si>
  <si>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</si>
  <si>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</si>
  <si>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</si>
  <si>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</si>
  <si>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</si>
  <si>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</si>
  <si>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</si>
  <si>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</si>
  <si>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</si>
  <si>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</si>
  <si>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</si>
  <si>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</si>
  <si>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</si>
  <si>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</si>
  <si>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</si>
  <si>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</si>
  <si>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</si>
  <si>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</si>
  <si>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</si>
  <si>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</si>
  <si>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</si>
  <si>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</si>
  <si>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</si>
  <si>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</si>
  <si>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</si>
  <si>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</si>
  <si>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</si>
  <si>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</si>
  <si>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</si>
  <si>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</si>
  <si>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</si>
  <si>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</si>
  <si>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</si>
  <si>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</si>
  <si>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</si>
  <si>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</si>
  <si>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</si>
  <si>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</si>
  <si>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</si>
  <si>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</si>
  <si>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</si>
  <si>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</si>
  <si>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</si>
  <si>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</si>
  <si>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</si>
  <si>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</si>
  <si>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</si>
  <si>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</si>
  <si>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</si>
  <si>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</si>
  <si>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</si>
  <si>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</si>
  <si>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</si>
  <si>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</si>
  <si>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</si>
  <si>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</si>
  <si>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</si>
  <si>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</si>
  <si>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</si>
  <si>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</si>
  <si>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</si>
  <si>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</si>
  <si>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</si>
  <si>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</si>
  <si>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</si>
  <si>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</si>
  <si>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</si>
  <si>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</si>
  <si>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</si>
  <si>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</si>
  <si>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</si>
  <si>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</si>
  <si>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</si>
  <si>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</si>
  <si>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</si>
  <si>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</si>
  <si>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</si>
  <si>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</si>
  <si>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</si>
  <si>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</si>
  <si>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</si>
  <si>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</si>
  <si>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</si>
  <si>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</si>
  <si>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</si>
  <si>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</si>
  <si>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</si>
  <si>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</si>
  <si>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</si>
  <si>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</si>
  <si>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</si>
  <si>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</si>
  <si>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</si>
  <si>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</si>
  <si>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</si>
  <si>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</si>
  <si>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</si>
  <si>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</si>
  <si>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</si>
  <si>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</si>
  <si>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</si>
  <si>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</si>
  <si>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</si>
  <si>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</si>
  <si>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</si>
  <si>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</si>
  <si>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</si>
  <si>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</si>
  <si>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</si>
  <si>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</si>
  <si>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</si>
  <si>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</si>
  <si>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</si>
  <si>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</si>
  <si>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</si>
  <si>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</si>
  <si>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</si>
  <si>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</si>
  <si>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</si>
  <si>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</si>
  <si>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</si>
  <si>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</si>
  <si>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</si>
  <si>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</si>
  <si>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</si>
  <si>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</si>
  <si>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</si>
  <si>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</si>
  <si>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</si>
  <si>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</si>
  <si>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</si>
  <si>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</si>
  <si>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</si>
  <si>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</si>
  <si>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</si>
  <si>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</si>
  <si>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</si>
  <si>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</si>
  <si>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</si>
  <si>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</si>
  <si>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</si>
  <si>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</si>
  <si>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</si>
  <si>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</si>
  <si>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</si>
  <si>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</si>
  <si>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</si>
  <si>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</si>
  <si>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</si>
  <si>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</si>
  <si>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</si>
  <si>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</si>
  <si>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</si>
  <si>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</si>
  <si>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</si>
  <si>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</si>
  <si>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</si>
  <si>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</si>
  <si>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</si>
  <si>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</si>
  <si>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</si>
  <si>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</si>
  <si>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</si>
  <si>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</si>
  <si>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</si>
  <si>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</si>
  <si>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</si>
  <si>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</si>
  <si>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</si>
  <si>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</si>
  <si>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</si>
  <si>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</si>
  <si>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</si>
  <si>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</si>
  <si>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</si>
  <si>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</si>
  <si>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</si>
  <si>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</si>
  <si>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</si>
  <si>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</si>
  <si>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</si>
  <si>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</si>
  <si>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</si>
  <si>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</si>
  <si>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</si>
  <si>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</si>
  <si>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</si>
  <si>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</si>
  <si>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</si>
  <si>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</si>
  <si>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</si>
  <si>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</si>
  <si>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</si>
  <si>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</si>
  <si>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</si>
  <si>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</si>
  <si>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</si>
  <si>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</si>
  <si>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</si>
  <si>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</si>
  <si>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</si>
  <si>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</si>
  <si>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</si>
  <si>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</si>
  <si>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</si>
  <si>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</si>
  <si>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</si>
  <si>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</si>
  <si>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</si>
  <si>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</si>
  <si>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</si>
  <si>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</si>
  <si>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</si>
  <si>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</si>
  <si>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</si>
  <si>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</si>
  <si>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</si>
  <si>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</si>
  <si>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</si>
  <si>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</si>
  <si>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</si>
  <si>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</si>
  <si>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</si>
  <si>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</si>
  <si>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</si>
  <si>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</si>
  <si>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</si>
  <si>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</si>
  <si>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</si>
  <si>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</si>
  <si>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</si>
  <si>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</si>
  <si>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</si>
  <si>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</si>
  <si>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</si>
  <si>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</si>
  <si>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</si>
  <si>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</si>
  <si>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</si>
  <si>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</si>
  <si>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</si>
  <si>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</si>
  <si>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</si>
  <si>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</si>
  <si>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</si>
  <si>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</si>
  <si>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</si>
  <si>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</si>
  <si>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</si>
  <si>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</si>
  <si>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</si>
  <si>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</si>
  <si>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</si>
  <si>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</si>
  <si>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</si>
  <si>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</si>
  <si>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</si>
  <si>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</si>
  <si>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</si>
  <si>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</si>
  <si>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</si>
  <si>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</si>
  <si>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</si>
  <si>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</si>
  <si>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</si>
  <si>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</si>
  <si>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</si>
  <si>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</si>
  <si>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</si>
  <si>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</si>
  <si>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</si>
  <si>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</si>
  <si>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</si>
  <si>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</si>
  <si>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</si>
  <si>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</si>
  <si>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</si>
  <si>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</si>
  <si>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</si>
  <si>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</si>
  <si>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</si>
  <si>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</si>
  <si>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</si>
  <si>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</si>
  <si>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</si>
  <si>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</si>
  <si>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</si>
  <si>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</si>
  <si>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</si>
  <si>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</si>
  <si>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</si>
  <si>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</si>
  <si>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</si>
  <si>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</si>
  <si>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</si>
  <si>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</si>
  <si>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</si>
  <si>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</si>
  <si>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</si>
  <si>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</si>
  <si>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</si>
  <si>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</si>
  <si>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</si>
  <si>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</si>
  <si>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</si>
  <si>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</si>
  <si>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</si>
  <si>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</si>
  <si>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</si>
  <si>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</si>
  <si>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</si>
  <si>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</si>
  <si>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</si>
  <si>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</si>
  <si>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</si>
  <si>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</si>
  <si>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</si>
  <si>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</si>
  <si>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</si>
  <si>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</si>
  <si>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</si>
  <si>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</si>
  <si>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</si>
  <si>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</si>
  <si>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</si>
  <si>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</si>
  <si>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</si>
  <si>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</si>
  <si>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</si>
  <si>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</si>
  <si>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</si>
  <si>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</si>
  <si>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</si>
  <si>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</si>
  <si>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</si>
  <si>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</si>
  <si>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</si>
  <si>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</si>
  <si>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</si>
  <si>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</si>
  <si>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</si>
  <si>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</si>
  <si>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</si>
  <si>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</si>
  <si>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</si>
  <si>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</si>
  <si>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</si>
  <si>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</si>
  <si>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</si>
  <si>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</si>
  <si>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</si>
  <si>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</si>
  <si>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</si>
  <si>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</si>
  <si>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</si>
  <si>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</si>
  <si>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</si>
  <si>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</si>
  <si>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</si>
  <si>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</si>
  <si>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</si>
  <si>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</si>
  <si>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</si>
  <si>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</si>
  <si>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</si>
  <si>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</si>
  <si>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</si>
  <si>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</si>
  <si>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</si>
  <si>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</si>
  <si>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</si>
  <si>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</si>
  <si>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</si>
  <si>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</si>
  <si>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</si>
  <si>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</si>
  <si>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</si>
  <si>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</si>
  <si>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</si>
  <si>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</si>
  <si>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</si>
  <si>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</si>
  <si>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</si>
  <si>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</si>
  <si>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</si>
  <si>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</si>
  <si>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</si>
  <si>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</si>
  <si>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</si>
  <si>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</si>
  <si>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</si>
  <si>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</si>
  <si>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</si>
  <si>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</si>
  <si>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</si>
  <si>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</si>
  <si>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</si>
  <si>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</si>
  <si>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</si>
  <si>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</si>
  <si>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</si>
  <si>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</si>
  <si>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</si>
  <si>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</si>
  <si>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</si>
  <si>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</si>
  <si>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</si>
  <si>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</si>
  <si>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</si>
  <si>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</si>
  <si>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</si>
  <si>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</si>
  <si>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</si>
  <si>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</si>
  <si>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</si>
  <si>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</si>
  <si>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</si>
  <si>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</si>
  <si>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</si>
  <si>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</si>
  <si>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</si>
  <si>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</si>
  <si>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</si>
  <si>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</si>
  <si>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</si>
  <si>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</si>
  <si>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</si>
  <si>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</si>
  <si>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</si>
  <si>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</si>
  <si>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</si>
  <si>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</si>
  <si>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</si>
  <si>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</si>
  <si>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</si>
  <si>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</si>
  <si>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</si>
  <si>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</si>
  <si>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</si>
  <si>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</si>
  <si>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</si>
  <si>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</si>
  <si>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</si>
  <si>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</si>
  <si>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</si>
  <si>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</si>
  <si>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</si>
  <si>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</si>
  <si>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</si>
  <si>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</si>
  <si>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</si>
  <si>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</si>
  <si>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</si>
  <si>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</si>
  <si>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</si>
  <si>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</si>
  <si>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</si>
  <si>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</si>
  <si>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</si>
  <si>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</si>
  <si>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</si>
  <si>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</si>
  <si>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</si>
  <si>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</si>
  <si>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</si>
  <si>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</si>
  <si>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</si>
  <si>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</si>
  <si>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</si>
  <si>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</si>
  <si>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</si>
  <si>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</si>
  <si>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</si>
  <si>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</si>
  <si>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</si>
  <si>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</si>
  <si>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</si>
  <si>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</si>
  <si>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</si>
  <si>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</si>
  <si>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</si>
  <si>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</si>
  <si>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</si>
  <si>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</si>
  <si>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</si>
  <si>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</si>
  <si>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</si>
  <si>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</si>
  <si>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</si>
  <si>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</si>
  <si>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</si>
  <si>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</si>
  <si>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</si>
  <si>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</si>
  <si>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</si>
  <si>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</si>
  <si>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</si>
  <si>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</si>
  <si>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</si>
  <si>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</si>
  <si>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</si>
  <si>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</si>
  <si>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</si>
  <si>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</si>
  <si>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</si>
  <si>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</si>
  <si>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</si>
  <si>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</si>
  <si>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</si>
  <si>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</si>
  <si>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</si>
  <si>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</si>
  <si>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</si>
  <si>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</si>
  <si>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</si>
  <si>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</si>
  <si>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</si>
  <si>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</si>
  <si>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</si>
  <si>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</si>
  <si>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</si>
  <si>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</si>
  <si>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</si>
  <si>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</si>
  <si>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</si>
  <si>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</si>
  <si>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</si>
  <si>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</si>
  <si>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</si>
  <si>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</si>
  <si>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</si>
  <si>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</si>
  <si>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</si>
  <si>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</si>
  <si>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</si>
  <si>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</si>
  <si>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</si>
  <si>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</si>
  <si>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</si>
  <si>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</si>
  <si>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</si>
  <si>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</si>
  <si>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</si>
  <si>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</si>
  <si>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</si>
  <si>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</si>
  <si>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</si>
  <si>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</si>
  <si>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</si>
  <si>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</si>
  <si>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</si>
  <si>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</si>
  <si>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</si>
  <si>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</si>
  <si>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</si>
  <si>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</si>
  <si>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</si>
  <si>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</si>
  <si>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</si>
  <si>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</si>
  <si>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</si>
  <si>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</si>
  <si>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</si>
  <si>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</si>
  <si>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</si>
  <si>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</si>
  <si>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</si>
  <si>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</si>
  <si>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</si>
  <si>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</si>
  <si>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</si>
  <si>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</si>
  <si>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</si>
  <si>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</si>
  <si>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</si>
  <si>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</si>
  <si>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</si>
  <si>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</si>
  <si>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</si>
  <si>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</si>
  <si>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</si>
  <si>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</si>
  <si>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</si>
  <si>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</si>
  <si>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</si>
  <si>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</si>
  <si>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</si>
  <si>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</si>
  <si>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</si>
  <si>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</si>
  <si>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</si>
  <si>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</si>
  <si>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</si>
  <si>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</si>
  <si>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</si>
  <si>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</si>
  <si>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</si>
  <si>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</si>
  <si>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</si>
  <si>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</si>
  <si>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</si>
  <si>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</si>
  <si>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</si>
  <si>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</si>
  <si>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</si>
  <si>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</si>
  <si>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</si>
  <si>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</si>
  <si>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</si>
  <si>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</si>
  <si>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</si>
  <si>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</si>
  <si>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</si>
  <si>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</si>
  <si>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</si>
  <si>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</si>
  <si>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</si>
  <si>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</si>
  <si>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</si>
  <si>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</si>
  <si>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</si>
  <si>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</si>
  <si>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</si>
  <si>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</si>
  <si>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</si>
  <si>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</si>
  <si>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</si>
  <si>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</si>
  <si>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</si>
  <si>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</si>
  <si>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</si>
  <si>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</si>
  <si>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</si>
  <si>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</si>
  <si>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</si>
  <si>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</si>
  <si>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</si>
  <si>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</si>
  <si>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</si>
  <si>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</si>
  <si>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</si>
  <si>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</si>
  <si>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</si>
  <si>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</si>
  <si>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</si>
  <si>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</si>
  <si>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</si>
  <si>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</si>
  <si>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</si>
  <si>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</si>
  <si>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</si>
  <si>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</si>
  <si>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</si>
  <si>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</si>
  <si>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</si>
  <si>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</si>
  <si>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</si>
  <si>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</si>
  <si>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</si>
  <si>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</si>
  <si>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</si>
  <si>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</si>
  <si>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</si>
  <si>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</si>
  <si>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</si>
  <si>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</si>
  <si>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</si>
  <si>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</si>
  <si>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</si>
  <si>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</si>
  <si>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</si>
  <si>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</si>
  <si>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</si>
  <si>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</si>
  <si>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</si>
  <si>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</si>
  <si>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</si>
  <si>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</si>
  <si>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</si>
  <si>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</si>
  <si>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</si>
  <si>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</si>
  <si>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</si>
  <si>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</si>
  <si>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</si>
  <si>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</si>
  <si>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</si>
  <si>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</si>
  <si>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</si>
  <si>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</si>
  <si>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</si>
  <si>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</si>
  <si>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</si>
  <si>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</si>
  <si>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</si>
  <si>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</si>
  <si>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</si>
  <si>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</si>
  <si>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</si>
  <si>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</si>
  <si>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</si>
  <si>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</si>
  <si>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</si>
  <si>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</si>
  <si>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</si>
  <si>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</si>
  <si>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</si>
  <si>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</si>
  <si>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</si>
  <si>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</si>
  <si>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</si>
  <si>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</si>
  <si>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</si>
  <si>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</si>
  <si>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</si>
  <si>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</si>
  <si>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</si>
  <si>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</si>
  <si>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</si>
  <si>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</si>
  <si>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</si>
  <si>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</si>
  <si>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</si>
  <si>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</si>
  <si>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</si>
  <si>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</si>
  <si>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</si>
  <si>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</si>
  <si>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</si>
  <si>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</si>
  <si>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</si>
  <si>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</si>
  <si>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</si>
  <si>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</si>
  <si>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</si>
  <si>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</si>
  <si>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</si>
  <si>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</si>
  <si>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</si>
  <si>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</si>
  <si>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</si>
  <si>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</si>
  <si>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</si>
  <si>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</si>
  <si>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</si>
  <si>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</si>
  <si>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</si>
  <si>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</si>
  <si>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</si>
  <si>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</si>
  <si>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</si>
  <si>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</si>
  <si>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</si>
  <si>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</si>
  <si>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</si>
  <si>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</si>
  <si>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</si>
  <si>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</si>
  <si>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</si>
  <si>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</si>
  <si>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</si>
  <si>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</si>
  <si>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</si>
  <si>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</si>
  <si>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</si>
  <si>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</si>
  <si>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</si>
  <si>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</si>
  <si>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</si>
  <si>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</si>
  <si>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</si>
  <si>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</si>
  <si>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</si>
  <si>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</si>
  <si>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</si>
  <si>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</si>
  <si>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</si>
  <si>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</si>
  <si>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</si>
  <si>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</si>
  <si>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</si>
  <si>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</si>
  <si>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</si>
  <si>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</si>
  <si>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</si>
  <si>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</si>
  <si>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</si>
  <si>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</si>
  <si>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</si>
  <si>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</si>
  <si>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</si>
  <si>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</si>
  <si>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</si>
  <si>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</si>
  <si>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</si>
  <si>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</si>
  <si>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</si>
  <si>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</si>
  <si>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</si>
  <si>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</si>
  <si>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</si>
  <si>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</si>
  <si>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</si>
  <si>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</si>
  <si>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</si>
  <si>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</si>
  <si>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</si>
  <si>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</si>
  <si>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</si>
  <si>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</si>
  <si>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</si>
  <si>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</si>
  <si>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</si>
  <si>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</si>
  <si>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</si>
  <si>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</si>
  <si>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</si>
  <si>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</si>
  <si>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</si>
  <si>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</si>
  <si>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</si>
  <si>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</si>
  <si>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</si>
  <si>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</si>
  <si>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</si>
  <si>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</si>
  <si>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</si>
  <si>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</si>
  <si>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</si>
  <si>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</si>
  <si>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</si>
  <si>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</si>
  <si>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</si>
  <si>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</si>
  <si>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</si>
  <si>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</si>
  <si>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</si>
  <si>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</si>
  <si>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</si>
  <si>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</si>
  <si>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</si>
  <si>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</si>
  <si>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</si>
  <si>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</si>
  <si>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</si>
  <si>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</si>
  <si>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</si>
  <si>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</si>
  <si>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</si>
  <si>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</si>
  <si>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</si>
  <si>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</si>
  <si>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</si>
  <si>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</si>
  <si>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</si>
  <si>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</si>
  <si>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</si>
  <si>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</si>
  <si>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</si>
  <si>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</si>
  <si>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</si>
  <si>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</si>
  <si>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</si>
  <si>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</si>
  <si>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</si>
  <si>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</si>
  <si>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</si>
  <si>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</si>
  <si>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</si>
  <si>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</si>
  <si>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</si>
  <si>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</si>
  <si>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</si>
  <si>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</si>
  <si>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</si>
  <si>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</si>
  <si>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</si>
  <si>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</si>
  <si>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</si>
  <si>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</si>
  <si>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</si>
  <si>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</si>
  <si>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</si>
  <si>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</si>
  <si>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</si>
  <si>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</si>
  <si>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</si>
  <si>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</si>
  <si>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</si>
  <si>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</si>
  <si>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</si>
  <si>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</si>
  <si>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</si>
  <si>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</si>
  <si>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</si>
  <si>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</si>
  <si>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</si>
  <si>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</si>
  <si>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</si>
  <si>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</si>
  <si>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</si>
  <si>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</si>
  <si>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</si>
  <si>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</si>
  <si>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</si>
  <si>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</si>
  <si>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</si>
  <si>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</si>
  <si>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</si>
  <si>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</si>
  <si>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</si>
  <si>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</si>
  <si>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</si>
  <si>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</si>
  <si>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</si>
  <si>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</si>
  <si>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</si>
  <si>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</si>
  <si>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</si>
  <si>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</si>
  <si>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</si>
  <si>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</si>
  <si>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</si>
  <si>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</si>
  <si>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</si>
  <si>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</si>
  <si>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</si>
  <si>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</si>
  <si>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</si>
  <si>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</si>
  <si>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</si>
  <si>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</si>
  <si>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</si>
  <si>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</si>
  <si>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</si>
  <si>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</si>
  <si>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</si>
  <si>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</si>
  <si>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</si>
  <si>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</si>
  <si>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</si>
  <si>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</si>
  <si>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</si>
  <si>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</si>
  <si>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</si>
  <si>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</si>
  <si>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</si>
  <si>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</si>
  <si>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</si>
  <si>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</si>
  <si>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</si>
  <si>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</si>
  <si>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</si>
  <si>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</si>
  <si>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</si>
  <si>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</si>
  <si>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</si>
  <si>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</si>
  <si>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</si>
  <si>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</si>
  <si>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</si>
  <si>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</si>
  <si>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</si>
  <si>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</si>
  <si>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</si>
  <si>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</si>
  <si>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</si>
  <si>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</si>
  <si>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</si>
  <si>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</si>
  <si>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</si>
  <si>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</si>
  <si>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</si>
  <si>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</si>
  <si>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</si>
  <si>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</si>
  <si>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</si>
  <si>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</si>
  <si>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</si>
  <si>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</si>
  <si>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</si>
  <si>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</si>
  <si>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</si>
  <si>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</si>
  <si>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</si>
  <si>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</si>
  <si>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</si>
  <si>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</si>
  <si>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</si>
  <si>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</si>
  <si>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</si>
  <si>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</si>
  <si>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</si>
  <si>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</si>
  <si>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</si>
  <si>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</si>
  <si>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</si>
  <si>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</si>
  <si>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</si>
  <si>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</si>
  <si>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</si>
  <si>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</si>
  <si>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</si>
  <si>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</si>
  <si>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</si>
  <si>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</si>
  <si>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</si>
  <si>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</si>
  <si>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</si>
  <si>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</si>
  <si>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</si>
  <si>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</si>
  <si>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</si>
  <si>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</si>
  <si>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</si>
  <si>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</si>
  <si>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</si>
  <si>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</si>
  <si>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</si>
  <si>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</si>
  <si>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</si>
  <si>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</si>
  <si>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</si>
  <si>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</si>
  <si>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</si>
  <si>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</si>
  <si>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</si>
  <si>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</si>
  <si>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</si>
  <si>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</si>
  <si>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</si>
  <si>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</si>
  <si>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</si>
  <si>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</si>
  <si>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</si>
  <si>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</si>
  <si>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</si>
  <si>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</si>
  <si>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</si>
  <si>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</si>
  <si>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</si>
  <si>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</si>
  <si>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</si>
  <si>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</si>
  <si>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</si>
  <si>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</si>
  <si>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</si>
  <si>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</si>
  <si>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</si>
  <si>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</si>
  <si>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</si>
  <si>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</si>
  <si>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</si>
  <si>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</si>
  <si>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</si>
  <si>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</si>
  <si>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</si>
  <si>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</si>
  <si>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</si>
  <si>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</si>
  <si>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</si>
  <si>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</si>
  <si>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</si>
  <si>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</si>
  <si>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</si>
  <si>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</si>
  <si>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</si>
  <si>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</si>
  <si>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</si>
  <si>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</si>
  <si>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</si>
  <si>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</si>
  <si>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</si>
  <si>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</si>
  <si>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</si>
  <si>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</si>
  <si>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</si>
  <si>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</si>
  <si>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</si>
  <si>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</si>
  <si>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</si>
  <si>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</si>
  <si>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</si>
  <si>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</si>
  <si>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</si>
  <si>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</si>
  <si>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</si>
  <si>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</si>
  <si>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</si>
  <si>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</si>
  <si>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</si>
  <si>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</si>
  <si>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</si>
  <si>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</si>
  <si>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</si>
  <si>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</si>
  <si>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</si>
  <si>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</si>
  <si>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</si>
  <si>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</si>
  <si>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</si>
  <si>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</si>
  <si>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</si>
  <si>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</si>
  <si>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</si>
  <si>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</si>
  <si>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</si>
  <si>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</si>
  <si>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</si>
  <si>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</si>
  <si>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</si>
  <si>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</si>
  <si>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</si>
  <si>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</si>
  <si>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</si>
  <si>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</si>
  <si>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</si>
  <si>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</si>
  <si>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</si>
  <si>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</si>
  <si>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</si>
  <si>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</si>
  <si>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</si>
  <si>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</si>
  <si>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</si>
  <si>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</si>
  <si>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</si>
  <si>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</si>
  <si>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</si>
  <si>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</si>
  <si>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</si>
  <si>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</si>
  <si>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</si>
  <si>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</si>
  <si>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</si>
  <si>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</si>
  <si>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</si>
  <si>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</si>
  <si>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</si>
  <si>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</si>
  <si>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</si>
  <si>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</si>
  <si>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</si>
  <si>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</si>
  <si>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</si>
  <si>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</si>
  <si>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</si>
  <si>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</si>
  <si>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</si>
  <si>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</si>
  <si>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</si>
  <si>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</si>
  <si>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</si>
  <si>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</si>
  <si>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</si>
  <si>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</si>
  <si>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</si>
  <si>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</si>
  <si>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</si>
  <si>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</si>
  <si>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</si>
  <si>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</si>
  <si>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</si>
  <si>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</si>
  <si>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</si>
  <si>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</si>
  <si>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</si>
  <si>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</si>
  <si>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</si>
  <si>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</si>
  <si>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</si>
  <si>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</si>
  <si>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</si>
  <si>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</si>
  <si>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</si>
  <si>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</si>
  <si>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</si>
  <si>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</si>
  <si>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</si>
  <si>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</si>
  <si>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</si>
  <si>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</si>
  <si>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</si>
  <si>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</si>
  <si>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</si>
  <si>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</si>
  <si>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</si>
  <si>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</si>
  <si>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</si>
  <si>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</si>
  <si>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</si>
  <si>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</si>
  <si>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</si>
  <si>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</si>
  <si>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</si>
  <si>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</si>
  <si>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</si>
  <si>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</si>
  <si>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</si>
  <si>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</si>
  <si>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</si>
  <si>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</si>
  <si>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</si>
  <si>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</si>
  <si>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</si>
  <si>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</si>
  <si>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</si>
  <si>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</si>
  <si>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</si>
  <si>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</si>
  <si>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</si>
  <si>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</si>
  <si>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</si>
  <si>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</si>
  <si>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</si>
  <si>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</si>
  <si>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</si>
  <si>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</si>
  <si>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</si>
  <si>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</si>
  <si>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</si>
  <si>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</si>
  <si>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</si>
  <si>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</si>
  <si>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</si>
  <si>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</si>
  <si>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</si>
  <si>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</si>
  <si>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</si>
  <si>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</si>
  <si>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</si>
  <si>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</si>
  <si>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</si>
  <si>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</si>
  <si>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</si>
  <si>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</si>
  <si>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</si>
  <si>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</si>
  <si>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</si>
  <si>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</si>
  <si>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</si>
  <si>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</si>
  <si>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</si>
  <si>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</si>
  <si>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</si>
  <si>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</si>
  <si>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</si>
  <si>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</si>
  <si>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</si>
  <si>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</si>
  <si>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</si>
  <si>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</si>
  <si>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</si>
  <si>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</si>
  <si>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</si>
  <si>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</si>
  <si>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</si>
  <si>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</si>
  <si>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</si>
  <si>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</si>
  <si>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</si>
  <si>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</si>
  <si>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</si>
  <si>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</si>
  <si>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</si>
  <si>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</si>
  <si>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</si>
  <si>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</si>
  <si>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</si>
  <si>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</si>
  <si>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</si>
  <si>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</si>
  <si>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</si>
  <si>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</si>
  <si>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</si>
  <si>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</si>
  <si>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</si>
  <si>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</si>
  <si>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</si>
  <si>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</si>
  <si>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</si>
  <si>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</si>
  <si>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</si>
  <si>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</si>
  <si>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</si>
  <si>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</si>
  <si>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</si>
  <si>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</si>
  <si>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</si>
  <si>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</si>
  <si>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</si>
  <si>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</si>
  <si>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</si>
  <si>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</si>
  <si>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</si>
  <si>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</si>
  <si>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</si>
  <si>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</si>
  <si>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</si>
  <si>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</si>
  <si>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</si>
  <si>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</si>
  <si>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</si>
  <si>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</si>
  <si>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</si>
  <si>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</si>
  <si>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</si>
  <si>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</si>
  <si>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</si>
  <si>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</si>
  <si>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</si>
  <si>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</si>
  <si>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</si>
  <si>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</si>
  <si>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</si>
  <si>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</si>
  <si>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</si>
  <si>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</si>
  <si>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</si>
  <si>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</si>
  <si>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</si>
  <si>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</si>
  <si>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</si>
  <si>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</si>
  <si>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</si>
  <si>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</si>
  <si>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</si>
  <si>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</si>
  <si>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</si>
  <si>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</si>
  <si>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</si>
  <si>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</si>
  <si>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</si>
  <si>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</si>
  <si>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</si>
  <si>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</si>
  <si>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</si>
  <si>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</si>
  <si>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</si>
  <si>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</si>
  <si>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</si>
  <si>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</si>
  <si>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</si>
  <si>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</si>
  <si>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</si>
  <si>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</si>
  <si>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</si>
  <si>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</si>
  <si>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</si>
  <si>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</si>
  <si>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</si>
  <si>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</si>
  <si>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</si>
  <si>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</si>
  <si>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</si>
  <si>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</si>
  <si>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</si>
  <si>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</si>
  <si>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</si>
  <si>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</si>
  <si>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</si>
  <si>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</si>
  <si>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</si>
  <si>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</si>
  <si>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</si>
  <si>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</si>
  <si>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</si>
  <si>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</si>
  <si>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</si>
  <si>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</si>
  <si>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</si>
  <si>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</si>
  <si>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</si>
  <si>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</si>
  <si>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</si>
  <si>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</si>
  <si>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</si>
  <si>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</si>
  <si>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</si>
  <si>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</si>
  <si>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</si>
  <si>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</si>
  <si>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</si>
  <si>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</si>
  <si>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</si>
  <si>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</si>
  <si>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</si>
  <si>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</si>
  <si>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</si>
  <si>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</si>
  <si>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</si>
  <si>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</si>
  <si>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</si>
  <si>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</si>
  <si>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</si>
  <si>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</si>
  <si>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</si>
  <si>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</si>
  <si>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</si>
  <si>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</si>
  <si>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</si>
  <si>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</si>
  <si>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</si>
  <si>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</si>
  <si>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</si>
  <si>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</si>
  <si>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</si>
  <si>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</si>
  <si>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</si>
  <si>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</si>
  <si>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</si>
  <si>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</si>
  <si>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</si>
  <si>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</si>
  <si>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</si>
  <si>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</si>
  <si>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</si>
  <si>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</si>
  <si>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</si>
  <si>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</si>
  <si>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</si>
  <si>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</si>
  <si>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</si>
  <si>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</si>
  <si>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</si>
  <si>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</si>
  <si>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</si>
  <si>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</si>
  <si>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</si>
  <si>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</si>
  <si>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</si>
  <si>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</si>
  <si>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</si>
  <si>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</si>
  <si>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</si>
  <si>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</si>
  <si>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</si>
  <si>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</si>
  <si>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</si>
  <si>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</si>
  <si>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</si>
  <si>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</si>
  <si>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</si>
  <si>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</si>
  <si>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</si>
  <si>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</si>
  <si>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</si>
  <si>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</si>
  <si>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</si>
  <si>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</si>
  <si>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</si>
  <si>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</si>
  <si>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</si>
  <si>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</si>
  <si>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</si>
  <si>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</si>
  <si>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</si>
  <si>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</si>
  <si>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</si>
  <si>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</si>
  <si>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</si>
  <si>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</si>
  <si>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</si>
  <si>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</si>
  <si>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</si>
  <si>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</si>
  <si>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</si>
  <si>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</si>
  <si>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</si>
  <si>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</si>
  <si>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</si>
  <si>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</si>
  <si>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</si>
  <si>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</si>
  <si>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</si>
  <si>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</si>
  <si>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</si>
  <si>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</si>
  <si>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</si>
  <si>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</si>
  <si>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</si>
  <si>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</si>
  <si>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</si>
  <si>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</si>
  <si>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</si>
  <si>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</si>
  <si>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</si>
  <si>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</si>
  <si>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</si>
  <si>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</si>
  <si>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</si>
  <si>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</si>
  <si>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</si>
  <si>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</si>
  <si>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</si>
  <si>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</si>
  <si>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</si>
  <si>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</si>
  <si>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</si>
  <si>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</si>
  <si>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</si>
  <si>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</si>
  <si>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</si>
  <si>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</si>
  <si>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</si>
  <si>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</si>
  <si>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</si>
  <si>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</si>
  <si>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</si>
  <si>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</si>
  <si>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</si>
  <si>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</si>
  <si>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</si>
  <si>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</si>
  <si>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</si>
  <si>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</si>
  <si>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</si>
  <si>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</si>
  <si>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</si>
  <si>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</si>
  <si>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</si>
  <si>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</si>
  <si>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</si>
  <si>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</si>
  <si>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</si>
  <si>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</si>
  <si>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</si>
  <si>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</si>
  <si>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</si>
  <si>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</si>
  <si>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</si>
  <si>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</si>
  <si>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</si>
  <si>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</si>
  <si>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</si>
  <si>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</si>
  <si>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</si>
  <si>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</si>
  <si>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</si>
  <si>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</si>
  <si>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</si>
  <si>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</si>
  <si>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</si>
  <si>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</si>
  <si>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</si>
  <si>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</si>
  <si>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</si>
  <si>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</si>
  <si>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</si>
  <si>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</si>
  <si>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</si>
  <si>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</si>
  <si>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</si>
  <si>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</si>
  <si>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</si>
  <si>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</si>
  <si>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</si>
  <si>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</si>
  <si>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</si>
  <si>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</si>
  <si>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</si>
  <si>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</si>
  <si>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</si>
  <si>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</si>
  <si>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</si>
  <si>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</si>
  <si>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</si>
  <si>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</si>
  <si>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</si>
  <si>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</si>
  <si>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</si>
  <si>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</si>
  <si>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</si>
  <si>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</si>
  <si>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</si>
  <si>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</si>
  <si>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</si>
  <si>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</si>
  <si>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</si>
  <si>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</si>
  <si>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</si>
  <si>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</si>
  <si>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</si>
  <si>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</si>
  <si>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</si>
  <si>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</si>
  <si>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</si>
  <si>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</si>
  <si>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</si>
  <si>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</si>
  <si>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</si>
  <si>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</si>
  <si>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</si>
  <si>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</si>
  <si>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</si>
  <si>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</si>
  <si>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</si>
  <si>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</si>
  <si>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</si>
  <si>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</si>
  <si>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</si>
  <si>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</si>
  <si>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</si>
  <si>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</si>
  <si>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</si>
  <si>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</si>
  <si>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</si>
  <si>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</si>
  <si>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</si>
  <si>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</si>
  <si>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</si>
  <si>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</si>
  <si>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</si>
  <si>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</si>
  <si>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</si>
  <si>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</si>
  <si>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</si>
  <si>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</si>
  <si>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</si>
  <si>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</si>
  <si>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</si>
  <si>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</si>
  <si>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</si>
  <si>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</si>
  <si>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</si>
  <si>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</si>
  <si>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</si>
  <si>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</si>
  <si>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</si>
  <si>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</si>
  <si>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</si>
  <si>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</si>
  <si>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</si>
  <si>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</si>
  <si>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</si>
  <si>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</si>
  <si>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</si>
  <si>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</si>
  <si>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</si>
  <si>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</si>
  <si>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</si>
  <si>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</si>
  <si>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</si>
  <si>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</si>
  <si>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</si>
  <si>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</si>
  <si>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</si>
  <si>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</si>
  <si>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</si>
  <si>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</si>
  <si>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</si>
  <si>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</si>
  <si>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</si>
  <si>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</si>
  <si>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</si>
  <si>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</si>
  <si>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</si>
  <si>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</si>
  <si>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</si>
  <si>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</si>
  <si>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</si>
  <si>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</si>
  <si>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</si>
  <si>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</si>
  <si>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</si>
  <si>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</si>
  <si>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</si>
  <si>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</si>
  <si>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</si>
  <si>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</si>
  <si>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</si>
  <si>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</si>
  <si>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</si>
  <si>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</si>
  <si>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</si>
  <si>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</si>
  <si>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</si>
  <si>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</si>
  <si>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</si>
  <si>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</si>
  <si>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</si>
  <si>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</si>
  <si>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</si>
  <si>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</si>
  <si>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</si>
  <si>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</si>
  <si>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</si>
  <si>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</si>
  <si>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</si>
  <si>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</si>
  <si>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</si>
  <si>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</si>
  <si>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</si>
  <si>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</si>
  <si>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</si>
  <si>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</si>
  <si>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</si>
  <si>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</si>
  <si>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</si>
  <si>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</si>
  <si>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</si>
  <si>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</si>
  <si>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</si>
  <si>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</si>
  <si>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</si>
  <si>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</si>
  <si>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</si>
  <si>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</si>
  <si>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</si>
  <si>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</si>
  <si>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</si>
  <si>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</si>
  <si>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</si>
  <si>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</si>
  <si>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</si>
  <si>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</si>
  <si>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</si>
  <si>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</si>
  <si>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</si>
  <si>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</si>
  <si>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</si>
  <si>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</si>
  <si>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</si>
  <si>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</si>
  <si>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</si>
  <si>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</si>
  <si>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</si>
  <si>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</si>
  <si>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</si>
  <si>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</si>
  <si>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</si>
  <si>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</si>
  <si>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</si>
  <si>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</si>
  <si>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</si>
  <si>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</si>
  <si>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</si>
  <si>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</si>
  <si>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</si>
  <si>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</si>
  <si>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</si>
  <si>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</si>
  <si>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</si>
  <si>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</si>
  <si>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</si>
  <si>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</si>
  <si>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</si>
  <si>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</si>
  <si>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</si>
  <si>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</si>
  <si>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</si>
  <si>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</si>
  <si>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</si>
  <si>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</si>
  <si>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</si>
  <si>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</si>
  <si>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</si>
  <si>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</si>
  <si>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</si>
  <si>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</si>
  <si>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</si>
  <si>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</si>
  <si>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</si>
  <si>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</si>
  <si>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</si>
  <si>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</si>
  <si>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</si>
  <si>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</si>
  <si>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</si>
  <si>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</si>
  <si>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</si>
  <si>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</si>
  <si>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</si>
  <si>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</si>
  <si>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</si>
  <si>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</si>
  <si>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</si>
  <si>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</si>
  <si>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</si>
  <si>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</si>
  <si>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</si>
  <si>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</si>
  <si>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</si>
  <si>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</si>
  <si>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</si>
  <si>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</si>
  <si>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</si>
  <si>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</si>
  <si>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</si>
  <si>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</si>
  <si>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</si>
  <si>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</si>
  <si>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</si>
  <si>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</si>
  <si>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</si>
  <si>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</si>
  <si>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</si>
  <si>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</si>
  <si>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</si>
  <si>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</si>
  <si>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</si>
  <si>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</si>
  <si>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</si>
  <si>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</si>
  <si>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</si>
  <si>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</si>
  <si>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</si>
  <si>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</si>
  <si>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</si>
  <si>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</si>
  <si>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</si>
  <si>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</si>
  <si>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</si>
  <si>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</si>
  <si>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</si>
  <si>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</si>
  <si>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</si>
  <si>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</si>
  <si>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</si>
  <si>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</si>
  <si>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</si>
  <si>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</si>
  <si>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</si>
  <si>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</si>
  <si>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</si>
  <si>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</si>
  <si>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</si>
  <si>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</si>
  <si>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</si>
  <si>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</si>
  <si>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</si>
  <si>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</si>
  <si>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</si>
  <si>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</si>
  <si>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</si>
  <si>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</si>
  <si>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</si>
  <si>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</si>
  <si>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</si>
  <si>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</si>
  <si>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</si>
  <si>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</si>
  <si>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</si>
  <si>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</si>
  <si>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</si>
  <si>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</si>
  <si>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</si>
  <si>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</si>
  <si>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</si>
  <si>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</si>
  <si>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</si>
  <si>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</si>
  <si>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</si>
  <si>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</si>
  <si>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</si>
  <si>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</si>
  <si>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</si>
  <si>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</si>
  <si>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</si>
  <si>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</si>
  <si>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</si>
  <si>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</si>
  <si>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</si>
  <si>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</si>
  <si>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</si>
  <si>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</si>
  <si>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</si>
  <si>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</si>
  <si>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</si>
  <si>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</si>
  <si>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</si>
  <si>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</si>
  <si>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</si>
  <si>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</si>
  <si>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</si>
  <si>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</si>
  <si>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</si>
  <si>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</si>
  <si>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</si>
  <si>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</si>
  <si>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</si>
  <si>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</si>
  <si>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</si>
  <si>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</si>
  <si>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</si>
  <si>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</si>
  <si>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</si>
  <si>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</si>
  <si>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</si>
  <si>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</si>
  <si>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</si>
  <si>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</si>
  <si>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</si>
  <si>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</si>
  <si>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</si>
  <si>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</si>
  <si>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</si>
  <si>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</si>
  <si>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</si>
  <si>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</si>
  <si>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</si>
  <si>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</si>
  <si>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</si>
  <si>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</si>
  <si>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</si>
  <si>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</si>
  <si>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</si>
  <si>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</si>
  <si>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</si>
  <si>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</si>
  <si>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</si>
  <si>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</si>
  <si>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</si>
  <si>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</si>
  <si>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</si>
  <si>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</si>
  <si>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</si>
  <si>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</si>
  <si>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</si>
  <si>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</si>
  <si>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</si>
  <si>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</si>
  <si>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</si>
  <si>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</si>
  <si>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</si>
  <si>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</si>
  <si>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</si>
  <si>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</si>
  <si>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</si>
  <si>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</si>
  <si>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</si>
  <si>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</si>
  <si>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</si>
  <si>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</si>
  <si>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</si>
  <si>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</si>
  <si>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</si>
  <si>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</si>
  <si>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</si>
  <si>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</si>
  <si>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</si>
  <si>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</si>
  <si>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</si>
  <si>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</si>
  <si>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</si>
  <si>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</si>
  <si>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</si>
  <si>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</si>
  <si>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</si>
  <si>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</si>
  <si>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</si>
  <si>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</si>
  <si>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</si>
  <si>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</si>
  <si>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</si>
  <si>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</si>
  <si>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</si>
  <si>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</si>
  <si>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</si>
  <si>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</si>
  <si>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</si>
  <si>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</si>
  <si>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</si>
  <si>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</si>
  <si>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</si>
  <si>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</si>
  <si>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</si>
  <si>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</si>
  <si>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</si>
  <si>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</si>
  <si>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</si>
  <si>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</si>
  <si>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</si>
  <si>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</si>
  <si>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</si>
  <si>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</si>
  <si>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</si>
  <si>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</si>
  <si>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</si>
  <si>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</si>
  <si>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</si>
  <si>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</si>
  <si>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</si>
  <si>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</si>
  <si>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</si>
  <si>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</si>
  <si>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</si>
  <si>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</si>
  <si>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</si>
  <si>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</si>
  <si>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</si>
  <si>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</si>
  <si>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</si>
  <si>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</si>
  <si>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</si>
  <si>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</si>
  <si>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</si>
  <si>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</si>
  <si>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</si>
  <si>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</si>
  <si>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</si>
  <si>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</si>
  <si>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</si>
  <si>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</si>
  <si>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</si>
  <si>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</si>
  <si>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</si>
  <si>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</si>
  <si>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</si>
  <si>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</si>
  <si>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</si>
  <si>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</si>
  <si>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</si>
  <si>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</si>
  <si>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</si>
  <si>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</si>
  <si>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</si>
  <si>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</si>
  <si>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</si>
  <si>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</si>
  <si>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</si>
  <si>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</si>
  <si>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</si>
  <si>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</si>
  <si>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</si>
  <si>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</si>
  <si>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</si>
  <si>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</si>
  <si>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</si>
  <si>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</si>
  <si>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</si>
  <si>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</si>
  <si>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</si>
  <si>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</si>
  <si>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</si>
  <si>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</si>
  <si>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</si>
  <si>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</si>
  <si>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</si>
  <si>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</si>
  <si>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</si>
  <si>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</si>
  <si>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</si>
  <si>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</si>
  <si>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</si>
  <si>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</si>
  <si>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</si>
  <si>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</si>
  <si>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</si>
  <si>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</si>
  <si>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</si>
  <si>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</si>
  <si>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</si>
  <si>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</si>
  <si>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</si>
  <si>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</si>
  <si>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</si>
  <si>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</si>
  <si>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</si>
  <si>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</si>
  <si>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</si>
  <si>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</si>
  <si>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</si>
  <si>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</si>
  <si>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</si>
  <si>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</si>
  <si>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</si>
  <si>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</si>
  <si>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</si>
  <si>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</si>
  <si>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</si>
  <si>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</si>
  <si>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</si>
  <si>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</si>
  <si>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</si>
  <si>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</si>
  <si>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</si>
  <si>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</si>
  <si>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</si>
  <si>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</si>
  <si>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</si>
  <si>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</si>
  <si>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</si>
  <si>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</si>
  <si>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</si>
  <si>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</si>
  <si>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</si>
  <si>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</si>
  <si>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</si>
  <si>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</si>
  <si>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</si>
  <si>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</si>
  <si>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</si>
  <si>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</si>
  <si>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</si>
  <si>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</si>
  <si>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</si>
  <si>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</si>
  <si>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</si>
  <si>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</si>
  <si>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</si>
  <si>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</si>
  <si>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</si>
  <si>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</si>
  <si>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</si>
  <si>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</si>
  <si>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</si>
  <si>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</si>
  <si>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</si>
  <si>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</si>
  <si>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</si>
  <si>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</si>
  <si>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</si>
  <si>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</si>
  <si>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</si>
  <si>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</si>
  <si>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</si>
  <si>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</si>
  <si>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</si>
  <si>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</si>
  <si>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</si>
  <si>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</si>
  <si>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</si>
  <si>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</si>
  <si>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</si>
  <si>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</si>
  <si>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</si>
  <si>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</si>
  <si>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</si>
  <si>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</si>
  <si>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</si>
  <si>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</si>
  <si>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</si>
  <si>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</si>
  <si>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</si>
  <si>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</si>
  <si>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</si>
  <si>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</si>
  <si>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</si>
  <si>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</si>
  <si>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</si>
  <si>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</si>
  <si>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</si>
  <si>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</si>
  <si>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</si>
  <si>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</si>
  <si>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</si>
  <si>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</si>
  <si>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</si>
  <si>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</si>
  <si>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</si>
  <si>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</si>
  <si>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</si>
  <si>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</si>
  <si>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</si>
  <si>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</si>
  <si>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</si>
  <si>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</si>
  <si>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</si>
  <si>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</si>
  <si>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</si>
  <si>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</si>
  <si>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</si>
  <si>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</si>
  <si>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</si>
  <si>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</si>
  <si>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</si>
  <si>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</si>
  <si>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</si>
  <si>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</si>
  <si>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</si>
  <si>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</si>
  <si>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</si>
  <si>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</si>
  <si>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</si>
  <si>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</si>
  <si>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</si>
  <si>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</si>
  <si>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</si>
  <si>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</si>
  <si>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</si>
  <si>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</si>
  <si>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</si>
  <si>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</si>
  <si>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</si>
  <si>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</si>
  <si>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</si>
  <si>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</si>
  <si>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</si>
  <si>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</si>
  <si>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</si>
  <si>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</si>
  <si>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</si>
  <si>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</si>
  <si>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</si>
  <si>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</si>
  <si>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</si>
  <si>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</si>
  <si>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</si>
  <si>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</si>
  <si>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</si>
  <si>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</si>
  <si>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</si>
  <si>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</si>
  <si>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</si>
  <si>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</si>
  <si>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</si>
  <si>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</si>
  <si>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</si>
  <si>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</si>
  <si>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</si>
  <si>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</si>
  <si>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</si>
  <si>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</si>
  <si>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</si>
  <si>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</si>
  <si>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</si>
  <si>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</si>
  <si>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</si>
  <si>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</si>
  <si>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</si>
  <si>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</si>
  <si>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</si>
  <si>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</si>
  <si>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</si>
  <si>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</si>
  <si>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</si>
  <si>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</si>
  <si>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</si>
  <si>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</si>
  <si>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</si>
  <si>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</si>
  <si>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</si>
  <si>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</si>
  <si>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</si>
  <si>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</si>
  <si>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</si>
  <si>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</si>
  <si>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</si>
  <si>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</si>
  <si>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</si>
  <si>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</si>
  <si>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</si>
  <si>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</si>
  <si>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</si>
  <si>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</si>
  <si>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</si>
  <si>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</si>
  <si>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</si>
  <si>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</si>
  <si>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</si>
  <si>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</si>
  <si>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</si>
  <si>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</si>
  <si>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</si>
  <si>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</si>
  <si>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</si>
  <si>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</si>
  <si>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</si>
  <si>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</si>
  <si>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</si>
  <si>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</si>
  <si>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</si>
  <si>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</si>
  <si>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</si>
  <si>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</si>
  <si>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</si>
  <si>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</si>
  <si>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</si>
  <si>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</si>
  <si>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</si>
  <si>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</si>
  <si>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</si>
  <si>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</si>
  <si>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</si>
  <si>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</si>
  <si>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</si>
  <si>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</si>
  <si>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</si>
  <si>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</si>
  <si>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</si>
  <si>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</si>
  <si>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</si>
  <si>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</si>
  <si>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</si>
  <si>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</si>
  <si>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</si>
  <si>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</si>
  <si>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</si>
  <si>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</si>
  <si>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</si>
  <si>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</si>
  <si>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</si>
  <si>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</si>
  <si>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</si>
  <si>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</si>
  <si>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</si>
  <si>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</si>
  <si>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</si>
  <si>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</si>
  <si>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</si>
  <si>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</si>
  <si>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</si>
  <si>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</si>
  <si>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</si>
  <si>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</si>
  <si>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</si>
  <si>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</si>
  <si>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</si>
  <si>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</si>
  <si>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</si>
  <si>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</si>
  <si>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</si>
  <si>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</si>
  <si>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</si>
  <si>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</si>
  <si>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</si>
  <si>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</si>
  <si>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</si>
  <si>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</si>
  <si>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</si>
  <si>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</si>
  <si>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</si>
  <si>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</si>
  <si>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</si>
  <si>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</si>
  <si>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</si>
  <si>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</si>
  <si>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</si>
  <si>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</si>
  <si>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</si>
  <si>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</si>
  <si>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</si>
  <si>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</si>
  <si>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</si>
  <si>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</si>
  <si>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</si>
  <si>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</si>
  <si>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</si>
  <si>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</si>
  <si>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</si>
  <si>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</si>
  <si>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</si>
  <si>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</si>
  <si>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</si>
  <si>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</si>
  <si>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</si>
  <si>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</si>
  <si>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</si>
  <si>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</si>
  <si>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</si>
  <si>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</si>
  <si>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</si>
  <si>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</si>
  <si>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</si>
  <si>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</si>
  <si>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</si>
  <si>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</si>
  <si>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</si>
  <si>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</si>
  <si>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</si>
  <si>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</si>
  <si>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</si>
  <si>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</si>
  <si>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</si>
  <si>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</si>
  <si>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</si>
  <si>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</si>
  <si>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</si>
  <si>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</si>
  <si>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</si>
  <si>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</si>
  <si>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</si>
  <si>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</si>
  <si>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</si>
  <si>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</si>
  <si>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</si>
  <si>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</si>
  <si>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</si>
  <si>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</si>
  <si>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</si>
  <si>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</si>
  <si>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</si>
  <si>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</si>
  <si>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</si>
  <si>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</si>
  <si>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</si>
  <si>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</si>
  <si>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</si>
  <si>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</si>
  <si>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</si>
  <si>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</si>
  <si>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</si>
  <si>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</si>
  <si>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</si>
  <si>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</si>
  <si>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</si>
  <si>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</si>
  <si>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</si>
  <si>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</si>
  <si>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</si>
  <si>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</si>
  <si>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</si>
  <si>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</si>
  <si>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</si>
  <si>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</si>
  <si>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</si>
  <si>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</si>
  <si>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</si>
  <si>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</si>
  <si>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</si>
  <si>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</si>
  <si>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</si>
  <si>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</si>
  <si>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</si>
  <si>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</si>
  <si>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</si>
  <si>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</si>
  <si>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</si>
  <si>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</si>
  <si>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</si>
  <si>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</si>
  <si>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</si>
  <si>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</si>
  <si>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</si>
  <si>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</si>
  <si>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</si>
  <si>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</si>
  <si>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</si>
  <si>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</si>
  <si>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</si>
  <si>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</si>
  <si>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</si>
  <si>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</si>
  <si>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</si>
  <si>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</si>
  <si>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</si>
  <si>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</si>
  <si>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</si>
  <si>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</si>
  <si>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</si>
  <si>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</si>
  <si>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</si>
  <si>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</si>
  <si>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</si>
  <si>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</si>
  <si>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</si>
  <si>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</si>
  <si>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</si>
  <si>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</si>
  <si>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</si>
  <si>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</si>
  <si>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</si>
  <si>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</si>
  <si>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</si>
  <si>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</si>
  <si>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</si>
  <si>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</si>
  <si>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</si>
  <si>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</si>
  <si>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</si>
  <si>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</si>
  <si>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</si>
  <si>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</si>
  <si>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</si>
  <si>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</si>
  <si>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</si>
  <si>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</si>
  <si>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</si>
  <si>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</si>
  <si>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</si>
  <si>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</si>
  <si>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</si>
  <si>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</si>
  <si>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</si>
  <si>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</si>
  <si>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</si>
  <si>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</si>
  <si>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</si>
  <si>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</si>
  <si>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</si>
  <si>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</si>
  <si>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</si>
  <si>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</si>
  <si>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</si>
  <si>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</si>
  <si>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</si>
  <si>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</si>
  <si>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</si>
  <si>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</si>
  <si>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</si>
  <si>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</si>
  <si>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</si>
  <si>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</si>
  <si>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</si>
  <si>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</si>
  <si>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</si>
  <si>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</si>
  <si>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</si>
  <si>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</si>
  <si>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</si>
  <si>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</si>
  <si>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</si>
  <si>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</si>
  <si>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</si>
  <si>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</si>
  <si>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</si>
  <si>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</si>
  <si>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</si>
  <si>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</si>
  <si>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</si>
  <si>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</si>
  <si>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</si>
  <si>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</si>
  <si>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</si>
  <si>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</si>
  <si>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</si>
  <si>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</si>
  <si>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</si>
  <si>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</si>
  <si>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</si>
  <si>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</si>
  <si>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</si>
  <si>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</si>
  <si>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</si>
  <si>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</si>
  <si>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</si>
  <si>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</si>
  <si>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</si>
  <si>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</si>
  <si>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</si>
  <si>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</si>
  <si>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</si>
  <si>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</si>
  <si>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</si>
  <si>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</si>
  <si>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</si>
  <si>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</si>
  <si>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</si>
  <si>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</si>
  <si>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</si>
  <si>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</si>
  <si>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</si>
  <si>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</si>
  <si>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</si>
  <si>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</si>
  <si>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</si>
  <si>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</si>
  <si>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</si>
  <si>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</si>
  <si>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</si>
  <si>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</si>
  <si>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</si>
  <si>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</si>
  <si>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</si>
  <si>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</si>
  <si>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</si>
  <si>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</si>
  <si>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</si>
  <si>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</si>
  <si>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</si>
  <si>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</si>
  <si>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</si>
  <si>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</si>
  <si>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</si>
  <si>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</si>
  <si>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</si>
  <si>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</si>
  <si>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</si>
  <si>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</si>
  <si>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</si>
  <si>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</si>
  <si>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</si>
  <si>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</si>
  <si>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</si>
  <si>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</si>
  <si>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</si>
  <si>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</si>
  <si>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</si>
  <si>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</si>
  <si>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</si>
  <si>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</si>
  <si>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</si>
  <si>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</si>
  <si>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</si>
  <si>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</si>
  <si>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</si>
  <si>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</si>
  <si>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</si>
  <si>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</si>
  <si>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</si>
  <si>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</si>
  <si>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</si>
  <si>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</si>
  <si>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</si>
  <si>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</si>
  <si>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</si>
  <si>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</si>
  <si>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</si>
  <si>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</si>
  <si>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</si>
  <si>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</si>
  <si>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</si>
  <si>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</si>
  <si>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</si>
  <si>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</si>
  <si>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</si>
  <si>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</si>
  <si>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</si>
  <si>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</si>
  <si>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</si>
  <si>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</si>
  <si>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</si>
  <si>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</si>
  <si>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</si>
  <si>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</si>
  <si>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</si>
  <si>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</si>
  <si>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</si>
  <si>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</si>
  <si>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</si>
  <si>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</si>
  <si>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</si>
  <si>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</si>
  <si>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</si>
  <si>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</si>
  <si>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</si>
  <si>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</si>
  <si>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</si>
  <si>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</si>
  <si>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</si>
  <si>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</si>
  <si>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</si>
  <si>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</si>
  <si>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</si>
  <si>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</si>
  <si>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</si>
  <si>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</si>
  <si>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</si>
  <si>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</si>
  <si>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</si>
  <si>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</si>
  <si>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</si>
  <si>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</si>
  <si>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</si>
  <si>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</si>
  <si>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</si>
  <si>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</si>
  <si>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</si>
  <si>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</si>
  <si>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</si>
  <si>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</si>
  <si>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</si>
  <si>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</si>
  <si>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</si>
  <si>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</si>
  <si>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</si>
  <si>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</si>
  <si>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</si>
  <si>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</si>
  <si>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</si>
  <si>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</si>
  <si>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</si>
  <si>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</si>
  <si>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</si>
  <si>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</si>
  <si>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</si>
  <si>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</si>
  <si>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</si>
  <si>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</si>
  <si>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</si>
  <si>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</si>
  <si>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</si>
  <si>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</si>
  <si>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</si>
  <si>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</si>
  <si>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</si>
  <si>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</si>
  <si>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</si>
  <si>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</si>
  <si>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</si>
  <si>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</si>
  <si>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</si>
  <si>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</si>
  <si>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</si>
  <si>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</si>
  <si>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</si>
  <si>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</si>
  <si>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</si>
  <si>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</si>
  <si>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</si>
  <si>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</si>
  <si>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</si>
  <si>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</si>
  <si>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</si>
  <si>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</si>
  <si>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</si>
  <si>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</si>
  <si>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</si>
  <si>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</si>
  <si>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</si>
  <si>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</si>
  <si>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</si>
  <si>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</si>
  <si>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</si>
  <si>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</si>
  <si>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</si>
  <si>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</si>
  <si>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</si>
  <si>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</si>
  <si>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</si>
  <si>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</si>
  <si>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</si>
  <si>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</si>
  <si>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</si>
  <si>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</si>
  <si>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</si>
  <si>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</si>
  <si>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</si>
  <si>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</si>
  <si>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</si>
  <si>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</si>
  <si>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</si>
  <si>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</si>
  <si>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</si>
  <si>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</si>
  <si>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</si>
  <si>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</si>
  <si>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</si>
  <si>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</si>
  <si>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</si>
  <si>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</si>
  <si>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</si>
  <si>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</si>
  <si>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</si>
  <si>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</si>
  <si>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</si>
  <si>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</si>
  <si>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</si>
  <si>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</si>
  <si>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</si>
  <si>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</si>
  <si>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</si>
  <si>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</si>
  <si>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</si>
  <si>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</si>
  <si>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</si>
  <si>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</si>
  <si>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</si>
  <si>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</si>
  <si>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</si>
  <si>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</si>
  <si>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</si>
  <si>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</si>
  <si>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</si>
  <si>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</si>
  <si>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</si>
  <si>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</si>
  <si>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</si>
  <si>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</si>
  <si>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</si>
  <si>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</si>
  <si>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</si>
  <si>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</si>
  <si>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</si>
  <si>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</si>
  <si>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</si>
  <si>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</si>
  <si>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</si>
  <si>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</si>
  <si>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</si>
  <si>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</si>
  <si>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</si>
  <si>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</si>
  <si>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</si>
  <si>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</si>
  <si>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</si>
  <si>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</si>
  <si>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</si>
  <si>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</si>
  <si>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</si>
  <si>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</si>
  <si>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</si>
  <si>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</si>
  <si>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</si>
  <si>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</si>
  <si>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</si>
  <si>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</si>
  <si>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</si>
  <si>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</si>
  <si>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</si>
  <si>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</si>
  <si>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</si>
  <si>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</si>
  <si>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</si>
  <si>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</si>
  <si>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</si>
  <si>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</si>
  <si>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</si>
  <si>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</si>
  <si>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</si>
  <si>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</si>
  <si>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</si>
  <si>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</si>
  <si>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</si>
  <si>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</si>
  <si>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</si>
  <si>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</si>
  <si>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</si>
  <si>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</si>
  <si>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</si>
  <si>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</si>
  <si>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</si>
  <si>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</si>
  <si>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</si>
  <si>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</si>
  <si>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</si>
  <si>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</si>
  <si>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</si>
  <si>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</si>
  <si>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</si>
  <si>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</si>
  <si>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</si>
  <si>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</si>
  <si>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</si>
  <si>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</si>
  <si>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</si>
  <si>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</si>
  <si>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</si>
  <si>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</si>
  <si>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</si>
  <si>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</si>
  <si>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</si>
  <si>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</si>
  <si>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</si>
  <si>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</si>
  <si>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</si>
  <si>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</si>
  <si>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</si>
  <si>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</si>
  <si>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</si>
  <si>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</si>
  <si>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</si>
  <si>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</si>
  <si>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</si>
  <si>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</si>
  <si>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</si>
  <si>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</si>
  <si>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</si>
  <si>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</si>
  <si>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</si>
  <si>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</si>
  <si>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</si>
  <si>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</si>
  <si>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</si>
  <si>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</si>
  <si>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</si>
  <si>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</si>
  <si>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</si>
  <si>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</si>
  <si>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</si>
  <si>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</si>
  <si>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</si>
  <si>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</si>
  <si>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</si>
  <si>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</si>
  <si>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</si>
  <si>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</si>
  <si>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</si>
  <si>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</si>
  <si>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</si>
  <si>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</si>
  <si>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</si>
  <si>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</si>
  <si>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</si>
  <si>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</si>
  <si>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</si>
  <si>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</si>
  <si>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</si>
  <si>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</si>
  <si>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</si>
  <si>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</si>
  <si>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</si>
  <si>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</si>
  <si>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</si>
  <si>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</si>
  <si>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</si>
  <si>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</si>
  <si>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</si>
  <si>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</si>
  <si>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</si>
  <si>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</si>
  <si>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</si>
  <si>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</si>
  <si>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</si>
  <si>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</si>
  <si>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</si>
  <si>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</si>
  <si>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</si>
  <si>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</si>
  <si>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</si>
  <si>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</si>
  <si>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</si>
  <si>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</si>
  <si>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</si>
  <si>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</si>
  <si>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</si>
  <si>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</si>
  <si>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</si>
  <si>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</si>
  <si>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</si>
  <si>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</si>
  <si>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</si>
  <si>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</si>
  <si>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</si>
  <si>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</si>
  <si>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</si>
  <si>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</si>
  <si>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</si>
  <si>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</si>
  <si>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</si>
  <si>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</si>
  <si>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</si>
  <si>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</si>
  <si>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</si>
  <si>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</si>
  <si>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</si>
  <si>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</si>
  <si>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</si>
  <si>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</si>
  <si>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</si>
  <si>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</si>
  <si>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</si>
  <si>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</si>
  <si>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</si>
  <si>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</si>
  <si>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</si>
  <si>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</si>
  <si>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</si>
  <si>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</si>
  <si>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</si>
  <si>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</si>
  <si>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</si>
  <si>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</si>
  <si>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</si>
  <si>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</si>
  <si>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</si>
  <si>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</si>
  <si>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</si>
  <si>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</si>
  <si>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</si>
  <si>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</si>
  <si>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</si>
  <si>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</si>
  <si>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</si>
  <si>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</si>
  <si>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</si>
  <si>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</si>
  <si>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</si>
  <si>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</si>
  <si>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</si>
  <si>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</si>
  <si>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</si>
  <si>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</si>
  <si>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</si>
  <si>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</si>
  <si>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</si>
  <si>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</si>
  <si>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</si>
  <si>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</si>
  <si>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</si>
  <si>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</si>
  <si>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</si>
  <si>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</si>
  <si>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</si>
  <si>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</si>
  <si>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</si>
  <si>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</si>
  <si>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</si>
  <si>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</si>
  <si>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</si>
  <si>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</si>
  <si>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</si>
  <si>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</si>
  <si>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</si>
  <si>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</si>
  <si>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</si>
  <si>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</si>
  <si>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</si>
  <si>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</si>
  <si>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</si>
  <si>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</si>
  <si>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</si>
  <si>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</si>
  <si>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</si>
  <si>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</si>
  <si>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</si>
  <si>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</si>
  <si>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</si>
  <si>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</si>
  <si>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</si>
  <si>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</si>
  <si>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</si>
  <si>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</si>
  <si>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</si>
  <si>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</si>
  <si>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</si>
  <si>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</si>
  <si>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</si>
  <si>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</si>
  <si>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</si>
  <si>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</si>
  <si>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</si>
  <si>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</si>
  <si>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</si>
  <si>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</si>
  <si>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</si>
  <si>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</si>
  <si>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</si>
  <si>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</si>
  <si>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</si>
  <si>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</si>
  <si>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</si>
  <si>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</si>
  <si>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</si>
  <si>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</si>
  <si>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</si>
  <si>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</si>
  <si>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</si>
  <si>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</si>
  <si>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</si>
  <si>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</si>
  <si>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</si>
  <si>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</si>
  <si>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</si>
  <si>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</si>
  <si>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</si>
  <si>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</si>
  <si>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</si>
  <si>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</si>
  <si>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</si>
  <si>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</si>
  <si>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</si>
  <si>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</si>
  <si>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</si>
  <si>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</si>
  <si>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</si>
  <si>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</si>
  <si>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</si>
  <si>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</si>
  <si>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</si>
  <si>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</si>
  <si>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</si>
  <si>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</si>
  <si>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</si>
  <si>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</si>
  <si>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</si>
  <si>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</si>
  <si>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</si>
  <si>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</si>
  <si>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</si>
  <si>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</si>
  <si>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</si>
  <si>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</si>
  <si>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</si>
  <si>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</si>
  <si>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</si>
  <si>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</si>
  <si>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</si>
  <si>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</si>
  <si>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</si>
  <si>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</si>
  <si>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</si>
  <si>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</si>
  <si>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</si>
  <si>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</si>
  <si>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</si>
  <si>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</si>
  <si>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</si>
  <si>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</si>
  <si>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</si>
  <si>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</si>
  <si>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</si>
  <si>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</si>
  <si>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</si>
  <si>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</si>
  <si>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</si>
  <si>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</si>
  <si>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</si>
  <si>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</si>
  <si>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</si>
  <si>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</si>
  <si>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</si>
  <si>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</si>
  <si>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</si>
  <si>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</si>
  <si>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</si>
  <si>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</si>
  <si>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</si>
  <si>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</si>
  <si>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</si>
  <si>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</si>
  <si>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</si>
  <si>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</si>
  <si>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</si>
  <si>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</si>
  <si>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</si>
  <si>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</si>
  <si>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</si>
  <si>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</si>
  <si>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</si>
  <si>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</si>
  <si>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</si>
  <si>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</si>
  <si>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</si>
  <si>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</si>
  <si>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</si>
  <si>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</si>
  <si>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</si>
  <si>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</si>
  <si>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</si>
  <si>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</si>
  <si>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</si>
  <si>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</si>
  <si>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</si>
  <si>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</si>
  <si>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</si>
  <si>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</si>
  <si>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</si>
  <si>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</si>
  <si>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</si>
  <si>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</si>
  <si>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</si>
  <si>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</si>
  <si>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</si>
  <si>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</si>
  <si>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</si>
  <si>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</si>
  <si>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</si>
  <si>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</si>
  <si>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</si>
  <si>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</si>
  <si>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</si>
  <si>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</si>
  <si>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</si>
  <si>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</si>
  <si>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</si>
  <si>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</si>
  <si>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</si>
  <si>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</si>
  <si>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</si>
  <si>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</si>
  <si>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</si>
  <si>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</si>
  <si>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</si>
  <si>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</si>
  <si>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</si>
  <si>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</si>
  <si>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</si>
  <si>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</si>
  <si>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</si>
  <si>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</si>
  <si>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</si>
  <si>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</si>
  <si>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</si>
  <si>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</si>
  <si>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</si>
  <si>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</si>
  <si>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</si>
  <si>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</si>
  <si>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</si>
  <si>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</si>
  <si>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</si>
  <si>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</si>
  <si>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</si>
  <si>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</si>
  <si>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</si>
  <si>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</si>
  <si>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</si>
  <si>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</si>
  <si>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</si>
  <si>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</si>
  <si>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</si>
  <si>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</si>
  <si>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</si>
  <si>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</si>
  <si>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</si>
  <si>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</si>
  <si>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</si>
  <si>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</si>
  <si>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</si>
  <si>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</si>
  <si>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</si>
  <si>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</si>
  <si>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</si>
  <si>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</si>
  <si>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</si>
  <si>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</si>
  <si>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</si>
  <si>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</si>
  <si>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</si>
  <si>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</si>
  <si>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</si>
  <si>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</si>
  <si>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</si>
  <si>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</si>
  <si>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</si>
  <si>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</si>
  <si>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</si>
  <si>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</si>
  <si>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</si>
  <si>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</si>
  <si>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</si>
  <si>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</si>
  <si>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</si>
  <si>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</si>
  <si>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</si>
  <si>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</si>
  <si>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</si>
  <si>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</si>
  <si>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</si>
  <si>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</si>
  <si>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</si>
  <si>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</si>
  <si>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</si>
  <si>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</si>
  <si>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</si>
  <si>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</si>
  <si>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</si>
  <si>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</si>
  <si>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</si>
  <si>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</si>
  <si>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</si>
  <si>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</si>
  <si>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</si>
  <si>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</si>
  <si>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</si>
  <si>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</si>
  <si>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</si>
  <si>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</si>
  <si>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</si>
  <si>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</si>
  <si>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</si>
  <si>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</si>
  <si>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</si>
  <si>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</si>
  <si>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</si>
  <si>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</si>
  <si>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</si>
  <si>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</si>
  <si>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</si>
  <si>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</si>
  <si>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</si>
  <si>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</si>
  <si>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</si>
  <si>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</si>
  <si>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</si>
  <si>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</si>
  <si>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</si>
  <si>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</si>
  <si>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</si>
  <si>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</si>
  <si>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</si>
  <si>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</si>
  <si>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</si>
  <si>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</si>
  <si>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</si>
  <si>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</si>
  <si>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</si>
  <si>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</si>
  <si>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</si>
  <si>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</si>
  <si>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</si>
  <si>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</si>
  <si>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</si>
  <si>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</si>
  <si>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</si>
  <si>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</si>
  <si>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</si>
  <si>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</si>
  <si>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</si>
  <si>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</si>
  <si>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</si>
  <si>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</si>
  <si>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</si>
  <si>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</si>
  <si>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</si>
  <si>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</si>
  <si>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</si>
  <si>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</si>
  <si>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</si>
  <si>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</si>
  <si>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</si>
  <si>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</si>
  <si>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</si>
  <si>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</si>
  <si>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</si>
  <si>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</si>
  <si>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</si>
  <si>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</si>
  <si>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</si>
  <si>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</si>
  <si>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</si>
  <si>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</si>
  <si>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</si>
  <si>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</si>
  <si>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</si>
  <si>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</si>
  <si>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</si>
  <si>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</si>
  <si>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</si>
  <si>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</si>
  <si>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</si>
  <si>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</si>
  <si>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</si>
  <si>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</si>
  <si>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</si>
  <si>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</si>
  <si>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</si>
  <si>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</si>
  <si>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</si>
  <si>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</si>
  <si>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</si>
  <si>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</si>
  <si>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</si>
  <si>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</si>
  <si>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</si>
  <si>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</si>
  <si>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</si>
  <si>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</si>
  <si>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</si>
  <si>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</si>
  <si>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</si>
  <si>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</si>
  <si>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</si>
  <si>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</si>
  <si>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</si>
  <si>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</si>
  <si>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</si>
  <si>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</si>
  <si>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</si>
  <si>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</si>
  <si>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</si>
  <si>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</si>
  <si>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</si>
  <si>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</si>
  <si>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</si>
  <si>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</si>
  <si>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</si>
  <si>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</si>
  <si>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</si>
  <si>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</si>
  <si>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</si>
  <si>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</si>
  <si>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</si>
  <si>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</si>
  <si>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</si>
  <si>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</si>
  <si>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</si>
  <si>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</si>
  <si>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</si>
  <si>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</si>
  <si>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</si>
  <si>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</si>
  <si>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</si>
  <si>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</si>
  <si>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</si>
  <si>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</si>
  <si>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</si>
  <si>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</si>
  <si>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</si>
  <si>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</si>
  <si>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</si>
  <si>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</si>
  <si>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</si>
  <si>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</si>
  <si>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</si>
  <si>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</si>
  <si>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</si>
  <si>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</si>
  <si>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</si>
  <si>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</si>
  <si>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</si>
  <si>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</si>
  <si>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</si>
  <si>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</si>
  <si>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</si>
  <si>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</si>
  <si>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</si>
  <si>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</si>
  <si>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</si>
  <si>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</si>
  <si>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</si>
  <si>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</si>
  <si>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</si>
  <si>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</si>
  <si>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</si>
  <si>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</si>
  <si>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</si>
  <si>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</si>
  <si>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</si>
  <si>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</si>
  <si>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</si>
  <si>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</si>
  <si>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</si>
  <si>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</si>
  <si>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</si>
  <si>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</si>
  <si>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</si>
  <si>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</si>
  <si>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</si>
  <si>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</si>
  <si>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</si>
  <si>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</si>
  <si>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</si>
  <si>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</si>
  <si>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</si>
  <si>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</si>
  <si>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</si>
  <si>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</si>
  <si>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</si>
  <si>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</si>
  <si>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</si>
  <si>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</si>
  <si>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</si>
  <si>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</si>
  <si>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</si>
  <si>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</si>
  <si>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</si>
  <si>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</si>
  <si>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</si>
  <si>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</si>
  <si>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</si>
  <si>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</si>
  <si>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</si>
  <si>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</si>
  <si>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</si>
  <si>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</si>
  <si>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Allied Metal Company</t>
  </si>
  <si>
    <t>Mark A. Simpson</t>
  </si>
  <si>
    <t>msimpson@alliedmetalcompany.com</t>
  </si>
  <si>
    <t>312.225.2800</t>
  </si>
  <si>
    <t>http://alliedmetalcompany.com/material-declarations-cm-reach-rohs/</t>
  </si>
  <si>
    <t>Only on Silicon Metal and other "non-scrap" raw material items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</si>
</sst>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5">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8" fillId="0" borderId="0"/>
    <xf numFmtId="0" fontId="88"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8"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4" fontId="2" fillId="0" borderId="0"/>
    <xf numFmtId="164"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8" fillId="0" borderId="0"/>
    <xf numFmtId="0" fontId="88" fillId="0" borderId="0"/>
    <xf numFmtId="0" fontId="88" fillId="0" borderId="0"/>
    <xf numFmtId="164" fontId="88"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6"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5"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7"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89"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0"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0"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0"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1"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2" fillId="0" borderId="0" xfId="0" applyFont="1"/>
    <xf numFmtId="164" fontId="53" fillId="0" borderId="0" xfId="480" applyFont="1" applyFill="1" applyAlignment="1" applyProtection="1">
      <alignment horizontal="left" vertical="top" wrapText="1"/>
      <protection hidden="1"/>
    </xf>
    <xf numFmtId="0" fontId="93"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4" fillId="33" borderId="61" xfId="487" applyNumberFormat="1" applyFont="1" applyFill="1" applyBorder="1" applyAlignment="1" applyProtection="1">
      <alignment horizontal="left" vertical="center" wrapText="1"/>
      <protection locked="0"/>
    </xf>
    <xf numFmtId="49" fontId="84" fillId="33" borderId="10" xfId="487" applyNumberFormat="1" applyFont="1" applyFill="1" applyBorder="1" applyAlignment="1" applyProtection="1">
      <alignment horizontal="left" vertical="center" wrapText="1"/>
      <protection locked="0"/>
    </xf>
    <xf numFmtId="49" fontId="84"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3" fillId="33" borderId="61" xfId="487" applyNumberFormat="1" applyFont="1" applyFill="1" applyBorder="1" applyAlignment="1" applyProtection="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8" fillId="33" borderId="61" xfId="487" applyFill="1" applyBorder="1" applyProtection="1">
      <protection locked="0"/>
    </xf>
    <xf numFmtId="0" fontId="8" fillId="33" borderId="10" xfId="487" applyFill="1" applyBorder="1" applyProtection="1">
      <protection locked="0"/>
    </xf>
    <xf numFmtId="0" fontId="8" fillId="33" borderId="37" xfId="487" applyFill="1" applyBorder="1" applyProtection="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simpson@alliedmetalcompany.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alliedmetalcompany.com/material-declarations-cm-reach-rohs/" TargetMode="External"/><Relationship Id="rId4" Type="http://schemas.openxmlformats.org/officeDocument/2006/relationships/hyperlink" Target="mailto:msimpson@alliedmetalcompany.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1" sqref="B51"/>
    </sheetView>
  </sheetViews>
  <sheetFormatPr defaultColWidth="9" defaultRowHeight="12.6"/>
  <cols>
    <col min="1" max="1" width="0.81640625" style="113" customWidth="1"/>
    <col min="2" max="2" width="8" style="113" customWidth="1"/>
    <col min="3" max="3" width="8.6328125" style="113" customWidth="1"/>
    <col min="4" max="4" width="13" style="215"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7"/>
      <c r="E1" s="10"/>
      <c r="F1" s="10"/>
      <c r="G1" s="11"/>
    </row>
    <row r="2" spans="1:7">
      <c r="A2" s="348"/>
      <c r="B2" s="38" t="s">
        <v>870</v>
      </c>
      <c r="C2" s="36"/>
      <c r="D2" s="208"/>
      <c r="E2" s="3"/>
      <c r="F2" s="36"/>
      <c r="G2" s="34"/>
    </row>
    <row r="3" spans="1:7">
      <c r="A3" s="348"/>
      <c r="B3" s="5" t="s">
        <v>862</v>
      </c>
      <c r="C3" s="6"/>
      <c r="D3" s="209"/>
      <c r="E3" s="3"/>
      <c r="F3" s="6"/>
      <c r="G3" s="34"/>
    </row>
    <row r="4" spans="1:7" ht="15">
      <c r="A4" s="348"/>
      <c r="B4" s="41" t="s">
        <v>872</v>
      </c>
      <c r="C4" s="7"/>
      <c r="D4" s="210"/>
      <c r="E4" s="3"/>
      <c r="F4" s="7"/>
      <c r="G4" s="34"/>
    </row>
    <row r="5" spans="1:7" ht="13.2">
      <c r="A5" s="348"/>
      <c r="B5" s="40" t="s">
        <v>1063</v>
      </c>
      <c r="C5" s="4"/>
      <c r="D5" s="211"/>
      <c r="E5" s="3"/>
      <c r="F5" s="4"/>
      <c r="G5" s="34"/>
    </row>
    <row r="6" spans="1:7">
      <c r="A6" s="348"/>
      <c r="B6" s="8"/>
      <c r="C6" s="8"/>
      <c r="D6" s="212"/>
      <c r="E6" s="8"/>
      <c r="F6" s="8"/>
      <c r="G6" s="34"/>
    </row>
    <row r="7" spans="1:7">
      <c r="A7" s="348"/>
      <c r="B7" s="8"/>
      <c r="C7" s="8"/>
      <c r="D7" s="212"/>
      <c r="E7" s="8"/>
      <c r="F7" s="8"/>
      <c r="G7" s="34"/>
    </row>
    <row r="8" spans="1:7">
      <c r="A8" s="348"/>
      <c r="B8" s="8"/>
      <c r="C8" s="8"/>
      <c r="D8" s="212"/>
      <c r="E8" s="8"/>
      <c r="F8" s="8"/>
      <c r="G8" s="34"/>
    </row>
    <row r="9" spans="1:7">
      <c r="A9" s="348"/>
      <c r="B9" s="351" t="s">
        <v>873</v>
      </c>
      <c r="C9" s="351"/>
      <c r="D9" s="351"/>
      <c r="E9" s="351"/>
      <c r="F9" s="351"/>
      <c r="G9" s="34"/>
    </row>
    <row r="10" spans="1:7" ht="27" customHeight="1">
      <c r="A10" s="348"/>
      <c r="B10" s="352" t="s">
        <v>448</v>
      </c>
      <c r="C10" s="352"/>
      <c r="D10" s="352"/>
      <c r="E10" s="352"/>
      <c r="F10" s="352"/>
      <c r="G10" s="34"/>
    </row>
    <row r="11" spans="1:7" ht="27" customHeight="1">
      <c r="A11" s="348"/>
      <c r="B11" s="353"/>
      <c r="C11" s="353"/>
      <c r="D11" s="353"/>
      <c r="E11" s="353"/>
      <c r="F11" s="353"/>
      <c r="G11" s="34"/>
    </row>
    <row r="12" spans="1:7">
      <c r="A12" s="348"/>
      <c r="B12" s="42" t="s">
        <v>871</v>
      </c>
      <c r="C12" s="43" t="s">
        <v>874</v>
      </c>
      <c r="D12" s="213" t="s">
        <v>875</v>
      </c>
      <c r="E12" s="43" t="s">
        <v>628</v>
      </c>
      <c r="F12" s="43" t="s">
        <v>629</v>
      </c>
      <c r="G12" s="34"/>
    </row>
    <row r="13" spans="1:7" ht="20.399999999999999">
      <c r="A13" s="348"/>
      <c r="B13" s="2">
        <v>1</v>
      </c>
      <c r="C13" s="37" t="s">
        <v>1111</v>
      </c>
      <c r="D13" s="39" t="s">
        <v>899</v>
      </c>
      <c r="E13" s="196" t="s">
        <v>876</v>
      </c>
      <c r="F13" s="196"/>
      <c r="G13" s="34"/>
    </row>
    <row r="14" spans="1:7" ht="30.6">
      <c r="A14" s="348"/>
      <c r="B14" s="2">
        <v>2</v>
      </c>
      <c r="C14" s="37" t="s">
        <v>1111</v>
      </c>
      <c r="D14" s="39" t="s">
        <v>1048</v>
      </c>
      <c r="E14" s="196" t="s">
        <v>540</v>
      </c>
      <c r="F14" s="196" t="s">
        <v>541</v>
      </c>
      <c r="G14" s="34"/>
    </row>
    <row r="15" spans="1:7" ht="89.1" customHeight="1">
      <c r="A15" s="348"/>
      <c r="B15" s="354">
        <v>2.0099999999999998</v>
      </c>
      <c r="C15" s="357" t="s">
        <v>1111</v>
      </c>
      <c r="D15" s="360" t="s">
        <v>2358</v>
      </c>
      <c r="E15" s="197" t="s">
        <v>630</v>
      </c>
      <c r="F15" s="197" t="s">
        <v>633</v>
      </c>
      <c r="G15" s="34"/>
    </row>
    <row r="16" spans="1:7" ht="99" customHeight="1">
      <c r="A16" s="348"/>
      <c r="B16" s="355"/>
      <c r="C16" s="358"/>
      <c r="D16" s="361"/>
      <c r="E16" s="198"/>
      <c r="F16" s="198" t="s">
        <v>631</v>
      </c>
      <c r="G16" s="34"/>
    </row>
    <row r="17" spans="1:7" ht="63" customHeight="1">
      <c r="A17" s="348"/>
      <c r="B17" s="356"/>
      <c r="C17" s="359"/>
      <c r="D17" s="362"/>
      <c r="E17" s="37"/>
      <c r="F17" s="37" t="s">
        <v>632</v>
      </c>
      <c r="G17" s="34"/>
    </row>
    <row r="18" spans="1:7" ht="117" customHeight="1">
      <c r="A18" s="348"/>
      <c r="B18" s="354">
        <v>2.02</v>
      </c>
      <c r="C18" s="357" t="s">
        <v>1111</v>
      </c>
      <c r="D18" s="360" t="s">
        <v>2359</v>
      </c>
      <c r="E18" s="197" t="s">
        <v>449</v>
      </c>
      <c r="F18" s="197" t="s">
        <v>535</v>
      </c>
      <c r="G18" s="34"/>
    </row>
    <row r="19" spans="1:7" ht="71.099999999999994" customHeight="1">
      <c r="A19" s="348"/>
      <c r="B19" s="355"/>
      <c r="C19" s="358"/>
      <c r="D19" s="361"/>
      <c r="E19" s="198" t="s">
        <v>539</v>
      </c>
      <c r="F19" s="198" t="s">
        <v>450</v>
      </c>
      <c r="G19" s="34"/>
    </row>
    <row r="20" spans="1:7" ht="90.75" customHeight="1">
      <c r="A20" s="348"/>
      <c r="B20" s="355"/>
      <c r="C20" s="358"/>
      <c r="D20" s="361"/>
      <c r="E20" s="198"/>
      <c r="F20" s="198" t="s">
        <v>635</v>
      </c>
      <c r="G20" s="34"/>
    </row>
    <row r="21" spans="1:7" ht="74.25" customHeight="1">
      <c r="A21" s="348"/>
      <c r="B21" s="356"/>
      <c r="C21" s="359"/>
      <c r="D21" s="362"/>
      <c r="E21" s="37"/>
      <c r="F21" s="37" t="s">
        <v>634</v>
      </c>
      <c r="G21" s="34"/>
    </row>
    <row r="22" spans="1:7" ht="90" customHeight="1">
      <c r="A22" s="348"/>
      <c r="B22" s="366">
        <v>2.0299999999999998</v>
      </c>
      <c r="C22" s="366" t="s">
        <v>845</v>
      </c>
      <c r="D22" s="369" t="s">
        <v>2360</v>
      </c>
      <c r="E22" s="357" t="s">
        <v>447</v>
      </c>
      <c r="F22" s="197" t="s">
        <v>470</v>
      </c>
      <c r="G22" s="34"/>
    </row>
    <row r="23" spans="1:7" ht="109.5" customHeight="1">
      <c r="A23" s="348"/>
      <c r="B23" s="367"/>
      <c r="C23" s="367"/>
      <c r="D23" s="370"/>
      <c r="E23" s="358"/>
      <c r="F23" s="198" t="s">
        <v>846</v>
      </c>
      <c r="G23" s="34"/>
    </row>
    <row r="24" spans="1:7" ht="74.25" customHeight="1">
      <c r="A24" s="348"/>
      <c r="B24" s="368"/>
      <c r="C24" s="368"/>
      <c r="D24" s="371"/>
      <c r="E24" s="359"/>
      <c r="F24" s="37" t="s">
        <v>446</v>
      </c>
      <c r="G24" s="34"/>
    </row>
    <row r="25" spans="1:7" ht="72" customHeight="1">
      <c r="A25" s="348"/>
      <c r="B25" s="2" t="s">
        <v>468</v>
      </c>
      <c r="C25" s="37" t="s">
        <v>469</v>
      </c>
      <c r="D25" s="39" t="s">
        <v>2361</v>
      </c>
      <c r="E25" s="37" t="s">
        <v>2356</v>
      </c>
      <c r="F25" s="37" t="s">
        <v>471</v>
      </c>
      <c r="G25" s="34"/>
    </row>
    <row r="26" spans="1:7" ht="98.1" customHeight="1">
      <c r="A26" s="348"/>
      <c r="B26" s="363">
        <v>3</v>
      </c>
      <c r="C26" s="354" t="s">
        <v>72</v>
      </c>
      <c r="D26" s="360" t="s">
        <v>2362</v>
      </c>
      <c r="E26" s="357" t="s">
        <v>0</v>
      </c>
      <c r="F26" s="197" t="s">
        <v>66</v>
      </c>
      <c r="G26" s="34"/>
    </row>
    <row r="27" spans="1:7" ht="90" customHeight="1">
      <c r="A27" s="348"/>
      <c r="B27" s="364"/>
      <c r="C27" s="355"/>
      <c r="D27" s="361"/>
      <c r="E27" s="358"/>
      <c r="F27" s="198" t="s">
        <v>61</v>
      </c>
      <c r="G27" s="34"/>
    </row>
    <row r="28" spans="1:7" ht="19.350000000000001" customHeight="1">
      <c r="A28" s="348"/>
      <c r="B28" s="364"/>
      <c r="C28" s="355"/>
      <c r="D28" s="361"/>
      <c r="E28" s="358"/>
      <c r="F28" s="198" t="s">
        <v>62</v>
      </c>
      <c r="G28" s="34"/>
    </row>
    <row r="29" spans="1:7" ht="74.55" customHeight="1">
      <c r="A29" s="348"/>
      <c r="B29" s="364"/>
      <c r="C29" s="355"/>
      <c r="D29" s="361"/>
      <c r="E29" s="358"/>
      <c r="F29" s="198" t="s">
        <v>63</v>
      </c>
      <c r="G29" s="34"/>
    </row>
    <row r="30" spans="1:7" ht="62.55" customHeight="1">
      <c r="A30" s="348"/>
      <c r="B30" s="364"/>
      <c r="C30" s="355"/>
      <c r="D30" s="361"/>
      <c r="E30" s="358"/>
      <c r="F30" s="198" t="s">
        <v>64</v>
      </c>
      <c r="G30" s="34"/>
    </row>
    <row r="31" spans="1:7" ht="81" customHeight="1">
      <c r="A31" s="348"/>
      <c r="B31" s="364"/>
      <c r="C31" s="355"/>
      <c r="D31" s="361"/>
      <c r="E31" s="358"/>
      <c r="F31" s="198" t="s">
        <v>65</v>
      </c>
      <c r="G31" s="34"/>
    </row>
    <row r="32" spans="1:7" ht="48.75" customHeight="1">
      <c r="A32" s="348"/>
      <c r="B32" s="364"/>
      <c r="C32" s="355"/>
      <c r="D32" s="361"/>
      <c r="E32" s="358"/>
      <c r="F32" s="198" t="s">
        <v>68</v>
      </c>
      <c r="G32" s="34"/>
    </row>
    <row r="33" spans="1:7" ht="98.55" customHeight="1">
      <c r="A33" s="348"/>
      <c r="B33" s="364"/>
      <c r="C33" s="355"/>
      <c r="D33" s="361"/>
      <c r="E33" s="358"/>
      <c r="F33" s="198" t="s">
        <v>67</v>
      </c>
      <c r="G33" s="34"/>
    </row>
    <row r="34" spans="1:7" ht="89.1" customHeight="1">
      <c r="A34" s="348"/>
      <c r="B34" s="364"/>
      <c r="C34" s="355"/>
      <c r="D34" s="361"/>
      <c r="E34" s="358"/>
      <c r="F34" s="198" t="s">
        <v>69</v>
      </c>
      <c r="G34" s="34"/>
    </row>
    <row r="35" spans="1:7" ht="29.1" customHeight="1">
      <c r="A35" s="348"/>
      <c r="B35" s="364"/>
      <c r="C35" s="355"/>
      <c r="D35" s="361"/>
      <c r="E35" s="358"/>
      <c r="F35" s="198" t="s">
        <v>70</v>
      </c>
      <c r="G35" s="34"/>
    </row>
    <row r="36" spans="1:7" ht="112.2">
      <c r="A36" s="348"/>
      <c r="B36" s="365"/>
      <c r="C36" s="356"/>
      <c r="D36" s="362"/>
      <c r="E36" s="359"/>
      <c r="F36" s="199" t="s">
        <v>71</v>
      </c>
      <c r="G36" s="34"/>
    </row>
    <row r="37" spans="1:7" ht="102">
      <c r="A37" s="348"/>
      <c r="B37" s="171">
        <v>3.01</v>
      </c>
      <c r="C37" s="172" t="s">
        <v>72</v>
      </c>
      <c r="D37" s="39" t="s">
        <v>2363</v>
      </c>
      <c r="E37" s="200" t="s">
        <v>1351</v>
      </c>
      <c r="F37" s="201" t="s">
        <v>1457</v>
      </c>
      <c r="G37" s="34"/>
    </row>
    <row r="38" spans="1:7" ht="81.599999999999994">
      <c r="A38" s="348"/>
      <c r="B38" s="171">
        <v>3.02</v>
      </c>
      <c r="C38" s="172" t="s">
        <v>1384</v>
      </c>
      <c r="D38" s="39" t="s">
        <v>2364</v>
      </c>
      <c r="E38" s="200" t="s">
        <v>1399</v>
      </c>
      <c r="F38" s="201" t="s">
        <v>1458</v>
      </c>
      <c r="G38" s="34"/>
    </row>
    <row r="39" spans="1:7" ht="81.599999999999994">
      <c r="A39" s="348"/>
      <c r="B39" s="182">
        <v>4</v>
      </c>
      <c r="C39" s="181" t="s">
        <v>1554</v>
      </c>
      <c r="D39" s="39" t="s">
        <v>2365</v>
      </c>
      <c r="E39" s="37" t="s">
        <v>2307</v>
      </c>
      <c r="F39" s="37" t="s">
        <v>1555</v>
      </c>
      <c r="G39" s="34"/>
    </row>
    <row r="40" spans="1:7" ht="40.799999999999997">
      <c r="A40" s="348"/>
      <c r="B40" s="171">
        <v>4.01</v>
      </c>
      <c r="C40" s="181" t="s">
        <v>1554</v>
      </c>
      <c r="D40" s="39" t="s">
        <v>2367</v>
      </c>
      <c r="E40" s="37" t="s">
        <v>2321</v>
      </c>
      <c r="F40" s="37" t="s">
        <v>2326</v>
      </c>
      <c r="G40" s="34"/>
    </row>
    <row r="41" spans="1:7" ht="40.799999999999997">
      <c r="A41" s="348"/>
      <c r="B41" s="171" t="s">
        <v>2354</v>
      </c>
      <c r="C41" s="181" t="s">
        <v>1554</v>
      </c>
      <c r="D41" s="39" t="s">
        <v>2366</v>
      </c>
      <c r="E41" s="37" t="s">
        <v>2357</v>
      </c>
      <c r="F41" s="37" t="s">
        <v>2355</v>
      </c>
      <c r="G41" s="34"/>
    </row>
    <row r="42" spans="1:7" ht="40.799999999999997">
      <c r="A42" s="348"/>
      <c r="B42" s="171" t="s">
        <v>2399</v>
      </c>
      <c r="C42" s="181" t="s">
        <v>1554</v>
      </c>
      <c r="D42" s="39" t="s">
        <v>2406</v>
      </c>
      <c r="E42" s="37" t="s">
        <v>2356</v>
      </c>
      <c r="F42" s="37" t="s">
        <v>2400</v>
      </c>
      <c r="G42" s="34"/>
    </row>
    <row r="43" spans="1:7" ht="112.2">
      <c r="A43" s="348"/>
      <c r="B43" s="193">
        <v>4.0999999999999996</v>
      </c>
      <c r="C43" s="181" t="s">
        <v>2405</v>
      </c>
      <c r="D43" s="194">
        <v>42867</v>
      </c>
      <c r="E43" s="202" t="s">
        <v>2408</v>
      </c>
      <c r="F43" s="37" t="s">
        <v>2407</v>
      </c>
      <c r="G43" s="34"/>
    </row>
    <row r="44" spans="1:7" ht="71.400000000000006">
      <c r="A44" s="348"/>
      <c r="B44" s="193">
        <v>4.2</v>
      </c>
      <c r="C44" s="181" t="s">
        <v>2405</v>
      </c>
      <c r="D44" s="194">
        <v>42704</v>
      </c>
      <c r="E44" s="202" t="s">
        <v>2625</v>
      </c>
      <c r="F44" s="37" t="s">
        <v>2598</v>
      </c>
      <c r="G44" s="34"/>
    </row>
    <row r="45" spans="1:7" ht="132.6">
      <c r="A45" s="348"/>
      <c r="B45" s="243">
        <v>5</v>
      </c>
      <c r="C45" s="181" t="s">
        <v>2405</v>
      </c>
      <c r="D45" s="194">
        <v>42867</v>
      </c>
      <c r="E45" s="202" t="s">
        <v>13032</v>
      </c>
      <c r="F45" s="37" t="s">
        <v>12754</v>
      </c>
      <c r="G45" s="34"/>
    </row>
    <row r="46" spans="1:7" ht="30.6">
      <c r="A46" s="348"/>
      <c r="B46" s="193">
        <v>5.01</v>
      </c>
      <c r="C46" s="181" t="s">
        <v>2405</v>
      </c>
      <c r="D46" s="194">
        <v>42907</v>
      </c>
      <c r="E46" s="202" t="s">
        <v>13052</v>
      </c>
      <c r="F46" s="37" t="s">
        <v>12754</v>
      </c>
      <c r="G46" s="34"/>
    </row>
    <row r="47" spans="1:7" ht="61.2">
      <c r="A47" s="348"/>
      <c r="B47" s="193">
        <v>5.0999999999999996</v>
      </c>
      <c r="C47" s="181" t="s">
        <v>2405</v>
      </c>
      <c r="D47" s="194">
        <v>43070</v>
      </c>
      <c r="E47" s="202" t="s">
        <v>13247</v>
      </c>
      <c r="F47" s="37" t="s">
        <v>13248</v>
      </c>
      <c r="G47" s="34"/>
    </row>
    <row r="48" spans="1:7" ht="51">
      <c r="A48" s="348"/>
      <c r="B48" s="193">
        <v>5.1100000000000003</v>
      </c>
      <c r="C48" s="181" t="s">
        <v>13489</v>
      </c>
      <c r="D48" s="194">
        <v>43217</v>
      </c>
      <c r="E48" s="202" t="s">
        <v>13617</v>
      </c>
      <c r="F48" s="37" t="s">
        <v>13523</v>
      </c>
      <c r="G48" s="34"/>
    </row>
    <row r="49" spans="1:7" ht="51">
      <c r="A49" s="348"/>
      <c r="B49" s="193">
        <v>5.12</v>
      </c>
      <c r="C49" s="181" t="s">
        <v>13489</v>
      </c>
      <c r="D49" s="194">
        <v>43581</v>
      </c>
      <c r="E49" s="202" t="s">
        <v>13617</v>
      </c>
      <c r="F49" s="37" t="s">
        <v>14191</v>
      </c>
      <c r="G49" s="34"/>
    </row>
    <row r="50" spans="1:7" ht="71.400000000000006">
      <c r="A50" s="348"/>
      <c r="B50" s="243">
        <v>6</v>
      </c>
      <c r="C50" s="181" t="s">
        <v>13489</v>
      </c>
      <c r="D50" s="194">
        <v>43964</v>
      </c>
      <c r="E50" s="202" t="s">
        <v>14433</v>
      </c>
      <c r="F50" s="37" t="s">
        <v>14204</v>
      </c>
      <c r="G50" s="34"/>
    </row>
    <row r="51" spans="1:7" ht="40.799999999999997">
      <c r="A51" s="348"/>
      <c r="B51" s="193">
        <v>6.01</v>
      </c>
      <c r="C51" s="181" t="s">
        <v>13489</v>
      </c>
      <c r="D51" s="194">
        <v>43970</v>
      </c>
      <c r="E51" s="202" t="s">
        <v>15503</v>
      </c>
      <c r="F51" s="202" t="s">
        <v>14204</v>
      </c>
      <c r="G51" s="34"/>
    </row>
    <row r="52" spans="1:7" ht="13.2" thickBot="1">
      <c r="A52" s="349"/>
      <c r="B52" s="350" t="str">
        <f ca="1">OFFSET(L!$C$1,MATCH("General"&amp;"Cpy",L!$A:$A,0)-1,SL,,)</f>
        <v>© 2020 Responsible Minerals Initiative. All rights reserved.</v>
      </c>
      <c r="C52" s="350"/>
      <c r="D52" s="350"/>
      <c r="E52" s="350"/>
      <c r="F52" s="350"/>
      <c r="G52" s="35"/>
    </row>
    <row r="53" spans="1:7" ht="13.2"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1640625" defaultRowHeight="12.6"/>
  <cols>
    <col min="1" max="1" width="20.6328125" style="76" customWidth="1"/>
    <col min="2" max="2" width="57.1796875" style="76" customWidth="1"/>
    <col min="3" max="16384" width="8.8164062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1640625" defaultRowHeight="12.6"/>
  <cols>
    <col min="1" max="1" width="11.1796875" customWidth="1"/>
    <col min="2" max="2" width="25.72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2.4">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0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6.2">
      <c r="A5" s="125"/>
      <c r="B5" s="114"/>
    </row>
    <row r="6" spans="1:2" ht="32.4">
      <c r="A6" s="124" t="str">
        <f ca="1">OFFSET(L!$C$1,MATCH("Instructions"&amp;ADDRESS(ROW(),COLUMN(),4),L!$A:$A,0)-1,SL,,)</f>
        <v>Instructions for completing Company Information questions (rows 8 - 22).
Provide comments in ENGLISH only</v>
      </c>
      <c r="B6" s="114" t="s">
        <v>1327</v>
      </c>
    </row>
    <row r="7" spans="1:2" ht="16.2">
      <c r="A7" s="294"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10.0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6.2">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1327</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1327</v>
      </c>
    </row>
    <row r="24" spans="1:2" ht="64.8">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4.8">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2.4">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6.2">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4.8">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6.2">
      <c r="A47" s="125"/>
      <c r="B47" s="114"/>
    </row>
    <row r="48" spans="1:2" ht="32.4">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2.4">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6.2">
      <c r="A52" s="121" t="str">
        <f ca="1">OFFSET(L!$C$1,MATCH("Instructions"&amp;ADDRESS(ROW(),COLUMN(),4),L!$A:$A,0)-1,SL,,)</f>
        <v>2. Metal (*)   -   Use the pull down menu to select the metal for which you are entering smelter information.  This field is mandatory.</v>
      </c>
      <c r="B52" s="114"/>
    </row>
    <row r="53" spans="1:2" ht="64.8">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4.8">
      <c r="A58" s="121" t="str">
        <f ca="1">OFFSET(L!$C$1,MATCH("Instructions"&amp;ADDRESS(ROW(),COLUMN(),4),L!$A:$A,0)-1,SL,,)</f>
        <v>8. Smelter Street -  Provide the street name on which the smelter is located. This field is optional.</v>
      </c>
      <c r="B58" s="114" t="s">
        <v>1326</v>
      </c>
    </row>
    <row r="59" spans="1:2" ht="32.4">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8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7.2">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7.2">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64.8">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9.6">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81">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2.4">
      <c r="A74" s="121"/>
      <c r="B74" s="114" t="s">
        <v>451</v>
      </c>
    </row>
    <row r="75" spans="1:2" ht="16.2">
      <c r="A75" s="121" t="str">
        <f ca="1">OFFSET(L!$C$1,MATCH("General"&amp;"Cpy",L!$A:$A,0)-1,SL,,)</f>
        <v>© 2020 Responsible Minerals Initiative. All rights reserved.</v>
      </c>
      <c r="B75" s="115"/>
    </row>
    <row r="76" spans="1:2" ht="16.2">
      <c r="A76" s="122" t="s">
        <v>1058</v>
      </c>
      <c r="B76" s="115"/>
    </row>
    <row r="77" spans="1:2" ht="16.8"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activeCell="B3" sqref="B3"/>
    </sheetView>
  </sheetViews>
  <sheetFormatPr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0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13.4">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8.6">
      <c r="A10" s="87"/>
      <c r="B10" s="74" t="str">
        <f ca="1">OFFSET(L!$C$1,MATCH("Definitions"&amp;ADDRESS(ROW(),COLUMN(),4),L!$A:$A,0)-1,SL,,)</f>
        <v>DRC</v>
      </c>
      <c r="C10" s="74" t="str">
        <f ca="1">OFFSET(L!$C$1,MATCH("Definitions"&amp;ADDRESS(ROW(),COLUMN(),4),L!$A:$A,0)-1,SL,,)</f>
        <v>Democratic Republic of Congo</v>
      </c>
      <c r="D10" s="376"/>
      <c r="E10" s="128" t="s">
        <v>1335</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29.6">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6.2">
      <c r="A19" s="87"/>
      <c r="B19" s="74" t="str">
        <f ca="1">OFFSET(L!$C$1,MATCH("Definitions"&amp;ADDRESS(ROW(),COLUMN(),4),L!$A:$A,0)-1,SL,,)</f>
        <v>OECD</v>
      </c>
      <c r="C19" s="74" t="str">
        <f ca="1">OFFSET(L!$C$1,MATCH("Definitions"&amp;ADDRESS(ROW(),COLUMN(),4),L!$A:$A,0)-1,SL,,)</f>
        <v>Organisation for Economic Co-operation and Development</v>
      </c>
      <c r="D19" s="376"/>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6.2">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45.8000000000000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81">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64.8">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6.2">
      <c r="A32" s="87"/>
      <c r="B32" s="375" t="str">
        <f ca="1">OFFSET(L!$C$1,MATCH("General"&amp;"Cpy",L!$A:$A,0)-1,SL,,)</f>
        <v>© 2020 Responsible Minerals Initiative. All rights reserved.</v>
      </c>
      <c r="C32" s="375"/>
      <c r="D32" s="376"/>
      <c r="E32" s="128"/>
    </row>
    <row r="33" spans="1:4" ht="13.2" thickBot="1">
      <c r="A33" s="88"/>
      <c r="B33" s="185"/>
      <c r="C33" s="185"/>
      <c r="D33" s="377"/>
    </row>
    <row r="34" spans="1:4" ht="13.2"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sqref="A1:K1"/>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397"/>
      <c r="B1" s="398"/>
      <c r="C1" s="398"/>
      <c r="D1" s="398"/>
      <c r="E1" s="398"/>
      <c r="F1" s="398"/>
      <c r="G1" s="398"/>
      <c r="H1" s="398"/>
      <c r="I1" s="398"/>
      <c r="J1" s="398"/>
      <c r="K1" s="399"/>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0" t="str">
        <f ca="1">OFFSET(L!$C$1,MATCH("Declaration"&amp;ADDRESS(ROW(),COLUMN(),4),L!$A:$A,0)-1,SL,,)</f>
        <v>Conflict Minerals Reporting Template (CMRT)</v>
      </c>
      <c r="E2" s="401"/>
      <c r="F2" s="401"/>
      <c r="G2" s="401"/>
      <c r="H2" s="401"/>
      <c r="I2" s="401"/>
      <c r="J2" s="402"/>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0"/>
      <c r="G3" s="410"/>
      <c r="H3" s="410"/>
      <c r="I3" s="184"/>
      <c r="J3" s="168" t="s">
        <v>15505</v>
      </c>
      <c r="K3" s="47"/>
      <c r="L3" s="139"/>
      <c r="M3" s="130"/>
      <c r="N3" s="130"/>
      <c r="O3" s="131"/>
      <c r="P3" s="144">
        <f>MATCH($D$3,LN,0)</f>
        <v>1</v>
      </c>
    </row>
    <row r="4" spans="1:34" ht="16.2">
      <c r="A4" s="45"/>
      <c r="B4" s="406" t="str">
        <f ca="1">OFFSET(L!$C$1,MATCH("Declaration"&amp;ADDRESS(ROW(),COLUMN(),4),L!$A:$A,0)-1,SL,,)</f>
        <v>The purpose of this document is to collect sourcing information on tin, tantalum, tungsten and gold used in products</v>
      </c>
      <c r="C4" s="406"/>
      <c r="D4" s="406"/>
      <c r="E4" s="406"/>
      <c r="F4" s="406"/>
      <c r="G4" s="406"/>
      <c r="H4" s="406"/>
      <c r="I4" s="411" t="str">
        <f ca="1">OFFSET(L!$C$1,MATCH("Declaration"&amp;ADDRESS(ROW(),COLUMN(),4),L!$A:$A,0)-1,SL,,)</f>
        <v>Link to Terms &amp; Conditions</v>
      </c>
      <c r="J4" s="411"/>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06" t="str">
        <f ca="1">OFFSET(L!$C$1,MATCH("Declaration"&amp;ADDRESS(ROW(),COLUMN(),4),L!$A:$A,0)-1,SL,,)</f>
        <v>Mandatory fields are noted with an asterisk (*).  Consult the instructions tab for guidance on how to answer each question.</v>
      </c>
      <c r="C6" s="406"/>
      <c r="D6" s="406"/>
      <c r="E6" s="406"/>
      <c r="F6" s="406"/>
      <c r="G6" s="406"/>
      <c r="H6" s="406"/>
      <c r="I6" s="406"/>
      <c r="J6" s="406"/>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6.2">
      <c r="A7" s="45"/>
      <c r="B7" s="415" t="str">
        <f ca="1">OFFSET(L!$C$1,MATCH("Declaration"&amp;ADDRESS(ROW(),COLUMN(),4),L!$A:$A,0)-1,SL,,)</f>
        <v>Company Information</v>
      </c>
      <c r="C7" s="415"/>
      <c r="D7" s="415"/>
      <c r="E7" s="415"/>
      <c r="F7" s="415"/>
      <c r="G7" s="415"/>
      <c r="H7" s="415"/>
      <c r="I7" s="415"/>
      <c r="J7" s="415"/>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03" t="s">
        <v>15506</v>
      </c>
      <c r="E8" s="404"/>
      <c r="F8" s="404"/>
      <c r="G8" s="404"/>
      <c r="H8" s="404"/>
      <c r="I8" s="404"/>
      <c r="J8" s="405"/>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12" t="s">
        <v>504</v>
      </c>
      <c r="E9" s="413"/>
      <c r="F9" s="413"/>
      <c r="G9" s="414"/>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49999999999997" customHeight="1">
      <c r="A10" s="49"/>
      <c r="B10" s="416" t="str">
        <f ca="1">OFFSET(L!$C$1,MATCH("Declaration"&amp;ADDRESS(ROW(),COLUMN(),4)&amp;LEFT($D$9,1),L!$A:$A,0)-1,SL,,)</f>
        <v>Description of Scope:</v>
      </c>
      <c r="C10" s="151"/>
      <c r="D10" s="407"/>
      <c r="E10" s="408"/>
      <c r="F10" s="408"/>
      <c r="G10" s="408"/>
      <c r="H10" s="408"/>
      <c r="I10" s="408"/>
      <c r="J10" s="409"/>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17"/>
      <c r="C11" s="151"/>
      <c r="D11" s="426" t="str">
        <f ca="1">IF(D9=Q9,OFFSET(L!$C$1,MATCH("Declaration"&amp;ADDRESS(ROW(),COLUMN(),4),L!$A:$A,0)-1,SL,,),"")</f>
        <v/>
      </c>
      <c r="E11" s="427"/>
      <c r="F11" s="427"/>
      <c r="G11" s="427"/>
      <c r="H11" s="427"/>
      <c r="I11" s="427"/>
      <c r="J11" s="428"/>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392"/>
      <c r="E12" s="393"/>
      <c r="F12" s="393"/>
      <c r="G12" s="393"/>
      <c r="H12" s="393"/>
      <c r="I12" s="393"/>
      <c r="J12" s="39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392"/>
      <c r="E13" s="393"/>
      <c r="F13" s="393"/>
      <c r="G13" s="393"/>
      <c r="H13" s="393"/>
      <c r="I13" s="393"/>
      <c r="J13" s="39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392"/>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392" t="s">
        <v>15507</v>
      </c>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18" t="s">
        <v>15508</v>
      </c>
      <c r="E16" s="419"/>
      <c r="F16" s="419"/>
      <c r="G16" s="419"/>
      <c r="H16" s="419"/>
      <c r="I16" s="419"/>
      <c r="J16" s="420"/>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392" t="s">
        <v>15509</v>
      </c>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392" t="s">
        <v>15507</v>
      </c>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392"/>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18" t="s">
        <v>15508</v>
      </c>
      <c r="E20" s="419"/>
      <c r="F20" s="419"/>
      <c r="G20" s="419"/>
      <c r="H20" s="419"/>
      <c r="I20" s="419"/>
      <c r="J20" s="420"/>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3"/>
      <c r="D21" s="386"/>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389">
        <v>44076</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23"/>
      <c r="E23" s="423"/>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424" t="str">
        <f ca="1">OFFSET(L!$C$1,MATCH("Declaration"&amp;ADDRESS(ROW(),COLUMN(),4),L!$A:$A,0)-1,SL,,)</f>
        <v>Answer</v>
      </c>
      <c r="E25" s="424"/>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 xml:space="preserve">Tin  </v>
      </c>
      <c r="C27" s="46"/>
      <c r="D27" s="378" t="s">
        <v>499</v>
      </c>
      <c r="E27" s="379"/>
      <c r="F27" s="15"/>
      <c r="G27" s="380"/>
      <c r="H27" s="381"/>
      <c r="I27" s="381"/>
      <c r="J27" s="382"/>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 xml:space="preserve">Gold  </v>
      </c>
      <c r="C28" s="46"/>
      <c r="D28" s="378" t="s">
        <v>499</v>
      </c>
      <c r="E28" s="379"/>
      <c r="F28" s="15"/>
      <c r="G28" s="380"/>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5" customHeight="1">
      <c r="A31" s="52"/>
      <c r="B31" s="55" t="str">
        <f ca="1">OFFSET(L!$C$1,MATCH("Declaration"&amp;ADDRESS(ROW(),COLUMN(),4),L!$A:$A,0)-1,SL,,)&amp;Q$37</f>
        <v>2) Does any 3TG remain in the product(s)?</v>
      </c>
      <c r="C31" s="13"/>
      <c r="D31" s="385" t="str">
        <f ca="1">D25</f>
        <v>Answer</v>
      </c>
      <c r="E31" s="385"/>
      <c r="F31" s="21"/>
      <c r="G31" s="55" t="str">
        <f ca="1">G25</f>
        <v>Comments</v>
      </c>
      <c r="H31" s="55"/>
      <c r="I31" s="55"/>
      <c r="J31" s="96"/>
      <c r="K31" s="47"/>
      <c r="L31" s="136" t="s">
        <v>1266</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395"/>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 xml:space="preserve">Tin  </v>
      </c>
      <c r="C33" s="13"/>
      <c r="D33" s="378"/>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 xml:space="preserve">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85" t="str">
        <f ca="1">D25</f>
        <v>Answer</v>
      </c>
      <c r="E37" s="385"/>
      <c r="F37" s="21"/>
      <c r="G37" s="55" t="str">
        <f ca="1">G25</f>
        <v>Comments</v>
      </c>
      <c r="H37" s="422"/>
      <c r="I37" s="422"/>
      <c r="J37" s="422"/>
      <c r="K37" s="47"/>
      <c r="L37" s="136" t="s">
        <v>1266</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 xml:space="preserve">Tin  </v>
      </c>
      <c r="C39" s="13"/>
      <c r="D39" s="378"/>
      <c r="E39" s="379"/>
      <c r="F39" s="58"/>
      <c r="G39" s="380"/>
      <c r="H39" s="381"/>
      <c r="I39" s="381"/>
      <c r="J39" s="382"/>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 xml:space="preserve">Gold  </v>
      </c>
      <c r="C40" s="13"/>
      <c r="D40" s="378"/>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5" customHeight="1">
      <c r="A43" s="52"/>
      <c r="B43" s="55" t="str">
        <f ca="1">OFFSET(L!$C$1,MATCH("Declaration"&amp;ADDRESS(ROW(),COLUMN(),4),L!$A:$A,0)-1,SL,,)&amp;Q$37</f>
        <v>4) Do any of the smelters in your supply chain source the 3TG from conflict-affected and high-risk areas?</v>
      </c>
      <c r="C43" s="13"/>
      <c r="D43" s="385" t="str">
        <f ca="1">D25</f>
        <v>Answer</v>
      </c>
      <c r="E43" s="385"/>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78"/>
      <c r="E45" s="379"/>
      <c r="F45" s="58"/>
      <c r="G45" s="380"/>
      <c r="H45" s="381"/>
      <c r="I45" s="381"/>
      <c r="J45" s="382"/>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8"/>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 xml:space="preserve">Tin  </v>
      </c>
      <c r="C51" s="13"/>
      <c r="D51" s="378"/>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 xml:space="preserve">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5" customHeight="1">
      <c r="A55" s="52"/>
      <c r="B55" s="161" t="str">
        <f ca="1">OFFSET(L!$C$1,MATCH("Declaration"&amp;ADDRESS(ROW(),COLUMN(),4),L!$A:$A,0)-1,SL,,)&amp;Q$37</f>
        <v xml:space="preserve">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46"/>
      <c r="D56" s="383"/>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 xml:space="preserve">Tin  </v>
      </c>
      <c r="C57" s="46"/>
      <c r="D57" s="383"/>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 xml:space="preserve">Gold  </v>
      </c>
      <c r="C58" s="46"/>
      <c r="D58" s="383"/>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46"/>
      <c r="D59" s="383"/>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 r="A61" s="52"/>
      <c r="B61" s="161" t="str">
        <f ca="1">OFFSET(L!$C$1,MATCH("Declaration"&amp;ADDRESS(ROW(),COLUMN(),4),L!$A:$A,0)-1,SL,,)&amp;Q$37</f>
        <v xml:space="preserve">7) Have you identified all of the smelters supplying the 3TG to your supply chain? </v>
      </c>
      <c r="C61" s="13"/>
      <c r="D61" s="385" t="str">
        <f ca="1">D25</f>
        <v>Answer</v>
      </c>
      <c r="E61" s="385"/>
      <c r="F61" s="21"/>
      <c r="G61" s="55" t="str">
        <f ca="1">G25</f>
        <v>Comments</v>
      </c>
      <c r="H61" s="421"/>
      <c r="I61" s="421"/>
      <c r="J61" s="42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13"/>
      <c r="D62" s="395"/>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 xml:space="preserve">Tin  </v>
      </c>
      <c r="C63" s="13"/>
      <c r="D63" s="378"/>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 xml:space="preserve">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 r="A67" s="52"/>
      <c r="B67" s="55" t="str">
        <f ca="1">OFFSET(L!$C$1,MATCH("Declaration"&amp;ADDRESS(ROW(),COLUMN(),4),L!$A:$A,0)-1,SL,,)&amp;Q$37</f>
        <v xml:space="preserve">8) Has all applicable smelter information received by your company been reported in this declaration? </v>
      </c>
      <c r="C67" s="13"/>
      <c r="D67" s="385" t="str">
        <f ca="1">D25</f>
        <v>Answer</v>
      </c>
      <c r="E67" s="385"/>
      <c r="F67" s="21"/>
      <c r="G67" s="55" t="str">
        <f ca="1">G25</f>
        <v>Comments</v>
      </c>
      <c r="H67" s="421" t="str">
        <f>IF(Q75="(*)","Click here to enter smelter names","")</f>
        <v/>
      </c>
      <c r="I67" s="421"/>
      <c r="J67" s="42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 xml:space="preserve">Tin  </v>
      </c>
      <c r="C69" s="46"/>
      <c r="D69" s="378"/>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 xml:space="preserve">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435" t="str">
        <f ca="1">OFFSET(L!$C$1,MATCH("Declaration"&amp;ADDRESS(ROW(),COLUMN(),4),L!$A:$A,0)-1,SL,,)</f>
        <v>Answer the Following Questions at a Company Level</v>
      </c>
      <c r="C73" s="435"/>
      <c r="D73" s="435"/>
      <c r="E73" s="435"/>
      <c r="F73" s="435"/>
      <c r="G73" s="435"/>
      <c r="H73" s="435"/>
      <c r="I73" s="435"/>
      <c r="J73" s="435"/>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24" t="str">
        <f ca="1">D25</f>
        <v>Answer</v>
      </c>
      <c r="E74" s="424"/>
      <c r="F74" s="64"/>
      <c r="G74" s="424" t="str">
        <f ca="1">G25</f>
        <v>Comments</v>
      </c>
      <c r="H74" s="424" t="e">
        <f>HLOOKUP(SL,LT,$O74,0)</f>
        <v>#NAME?</v>
      </c>
      <c r="I74" s="424"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25"/>
      <c r="H76" s="425"/>
      <c r="I76" s="425"/>
      <c r="J76" s="42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78" t="s">
        <v>498</v>
      </c>
      <c r="E77" s="379"/>
      <c r="F77" s="68"/>
      <c r="G77" s="448" t="s">
        <v>15510</v>
      </c>
      <c r="H77" s="449"/>
      <c r="I77" s="449"/>
      <c r="J77" s="450"/>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78" t="s">
        <v>15442</v>
      </c>
      <c r="E83" s="379"/>
      <c r="F83" s="68"/>
      <c r="G83" s="380" t="s">
        <v>15511</v>
      </c>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432" t="s">
        <v>498</v>
      </c>
      <c r="E85" s="433"/>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25"/>
      <c r="H86" s="425"/>
      <c r="I86" s="425"/>
      <c r="J86" s="42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34"/>
      <c r="H88" s="434"/>
      <c r="I88" s="434"/>
      <c r="J88" s="434"/>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31" t="str">
        <f>IF(OR($D$8="",$I$3=""),"","Click here to check required fields completion")</f>
        <v/>
      </c>
      <c r="C90" s="431"/>
      <c r="D90" s="431"/>
      <c r="E90" s="431"/>
      <c r="F90" s="431"/>
      <c r="G90" s="431"/>
      <c r="H90" s="431"/>
      <c r="I90" s="431"/>
      <c r="J90" s="431"/>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429" t="str">
        <f ca="1">OFFSET(L!$C$1,MATCH("General"&amp;"Cpy",L!$A:$A,0)-1,SL,,)</f>
        <v>© 2020 Responsible Minerals Initiative. All rights reserved.</v>
      </c>
      <c r="B91" s="430"/>
      <c r="C91" s="430"/>
      <c r="D91" s="430"/>
      <c r="E91" s="430"/>
      <c r="F91" s="430"/>
      <c r="G91" s="430"/>
      <c r="H91" s="430"/>
      <c r="I91" s="430"/>
      <c r="J91" s="430"/>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15442</v>
      </c>
    </row>
    <row r="106" spans="2:2" ht="15" hidden="1">
      <c r="B106" s="292" t="s">
        <v>12721</v>
      </c>
    </row>
    <row r="107" spans="2:2" ht="15" hidden="1">
      <c r="B107" s="292" t="s">
        <v>499</v>
      </c>
    </row>
    <row r="108" spans="2:2" ht="15" hidden="1">
      <c r="B108" s="292" t="s">
        <v>14352</v>
      </c>
    </row>
    <row r="109" spans="2:2" ht="15" hidden="1">
      <c r="B109" s="292" t="s">
        <v>14354</v>
      </c>
    </row>
    <row r="110" spans="2:2" ht="15" hidden="1">
      <c r="B110" s="292" t="s">
        <v>14355</v>
      </c>
    </row>
    <row r="111" spans="2:2" ht="1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86ED9DB8-69BF-4DDC-B2A4-71AA26F261B6}"/>
    <hyperlink ref="D20" r:id="rId4" xr:uid="{CADF35BF-8BE5-484D-AE33-F8873CF1802F}"/>
    <hyperlink ref="G77:J77" r:id="rId5" display="http://alliedmetalcompany.com/material-declarations-cm-reach-rohs/" xr:uid="{A8E8B96F-C177-4875-AE46-43640C66BD4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20" activePane="bottomLeft" state="frozen"/>
      <selection pane="bottomLeft" activeCell="A5" sqref="A5"/>
    </sheetView>
  </sheetViews>
  <sheetFormatPr defaultColWidth="8.81640625" defaultRowHeight="12.6"/>
  <cols>
    <col min="1" max="1" width="13.6328125" style="277" customWidth="1"/>
    <col min="2" max="2" width="13.36328125" style="282" customWidth="1"/>
    <col min="3" max="3" width="40.6328125" style="282" customWidth="1"/>
    <col min="4" max="4" width="30.6328125" style="282" customWidth="1"/>
    <col min="5" max="5" width="20.81640625" style="282" customWidth="1"/>
    <col min="6" max="7" width="13.81640625" style="282" customWidth="1"/>
    <col min="8" max="8" width="25.1796875" style="282" customWidth="1"/>
    <col min="9" max="9" width="24.1796875" style="282" customWidth="1"/>
    <col min="10" max="10" width="18.36328125" style="282" customWidth="1"/>
    <col min="11" max="11" width="27.36328125" style="282" customWidth="1"/>
    <col min="12" max="12" width="20.6328125" style="282" customWidth="1"/>
    <col min="13" max="13" width="35.1796875" style="282" customWidth="1"/>
    <col min="14" max="14" width="42.1796875" style="282" customWidth="1"/>
    <col min="15" max="15" width="32.1796875" style="282" customWidth="1"/>
    <col min="16" max="16" width="22.81640625" style="282" customWidth="1"/>
    <col min="17" max="17" width="43.6328125" style="282" customWidth="1"/>
    <col min="18" max="18" width="35.81640625" style="282" hidden="1" customWidth="1"/>
    <col min="19" max="20" width="17.81640625" style="282" hidden="1" customWidth="1"/>
    <col min="21" max="21" width="8.81640625" style="281" hidden="1" customWidth="1"/>
    <col min="22" max="22" width="6.1796875" style="281" hidden="1" customWidth="1"/>
    <col min="23" max="23" width="8.6328125" style="281" hidden="1" customWidth="1"/>
    <col min="24" max="24" width="8.81640625" style="281" hidden="1" customWidth="1"/>
    <col min="25" max="26" width="4.36328125" style="281" hidden="1" customWidth="1"/>
    <col min="27" max="27" width="4.36328125" style="282" hidden="1" customWidth="1"/>
    <col min="28" max="28" width="7.81640625" style="282" hidden="1" customWidth="1"/>
    <col min="29" max="33" width="4.36328125" style="282" hidden="1" customWidth="1"/>
    <col min="34" max="34" width="14.6328125" style="282" hidden="1" customWidth="1"/>
    <col min="35" max="39" width="8.81640625" style="282" customWidth="1"/>
    <col min="40" max="16384" width="8.81640625" style="282"/>
  </cols>
  <sheetData>
    <row r="1" spans="1:34" s="269" customFormat="1" ht="16.0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8.2">
      <c r="A2" s="203"/>
      <c r="B2" s="222" t="str">
        <f ca="1">OFFSET(L!$C$1,MATCH("Smelter List"&amp;ADDRESS(ROW(),COLUMN(),4),L!$A:$A,0)-1,SL,,)</f>
        <v>TO BEGIN:</v>
      </c>
      <c r="C2" s="205"/>
      <c r="D2" s="205"/>
      <c r="E2" s="205"/>
      <c r="F2" s="232"/>
      <c r="G2" s="232"/>
      <c r="H2" s="232"/>
      <c r="I2" s="233"/>
      <c r="J2" s="436" t="str">
        <f ca="1">OFFSET(L!$C$1,MATCH("Smelter List"&amp;ADDRESS(ROW(),COLUMN(),4),L!$A:$A,0)-1,SL,,)</f>
        <v>Link to "RMAP Conformant Smelter List"</v>
      </c>
      <c r="K2" s="437"/>
      <c r="L2" s="437"/>
      <c r="M2" s="437"/>
      <c r="N2" s="437"/>
      <c r="O2" s="437"/>
      <c r="P2" s="234"/>
      <c r="Q2" s="235"/>
      <c r="R2" s="236"/>
      <c r="S2" s="236"/>
      <c r="T2" s="236"/>
      <c r="U2" s="267"/>
      <c r="V2" s="267"/>
      <c r="W2" s="268"/>
      <c r="X2" s="267"/>
      <c r="Y2" s="267"/>
      <c r="Z2" s="267"/>
      <c r="AH2" s="176" t="s">
        <v>498</v>
      </c>
    </row>
    <row r="3" spans="1:34" s="269" customFormat="1" ht="244.05" customHeight="1">
      <c r="A3" s="204"/>
      <c r="B3" s="43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8"/>
      <c r="D3" s="438"/>
      <c r="E3" s="438"/>
      <c r="F3" s="270"/>
      <c r="G3" s="439" t="str">
        <f ca="1">OFFSET(L!$C$1,MATCH("General"&amp;"Cpy",L!$A:$A,0)-1,SL,,)</f>
        <v>© 2020 Responsible Minerals Initiative. All rights reserved.</v>
      </c>
      <c r="H3" s="439"/>
      <c r="I3" s="440"/>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9.95"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t="shared" ref="S5" ca="1" si="0">IF(B5="","",IF(ISERROR(MATCH($E5,CL,0)),"Unknown",INDIRECT("'C'!$A$"&amp;MATCH($E5,CL,0)+1)))</f>
        <v/>
      </c>
      <c r="T5" s="225" t="str">
        <f ca="1">IF(B5="","",IF(ISERROR(MATCH($J5,SorP!$B$1:$B$6230,0)),"",INDIRECT("'SorP'!$A$"&amp;MATCH($J5,SorP!$B$1:$B$6230,0))))</f>
        <v/>
      </c>
      <c r="U5" s="241"/>
      <c r="V5" s="275" t="e">
        <f>IF(C5="",NA(),MATCH($B5&amp;$C5,'Smelter Look-up'!$J:$J,0))</f>
        <v>#N/A</v>
      </c>
      <c r="W5" s="276"/>
      <c r="X5" s="276">
        <f t="shared" ref="X5" ca="1" si="1">IF(AND(C5="Smelter not listed",OR(LEN(D5)=0,LEN(E5)=0)),1,0)</f>
        <v>0</v>
      </c>
      <c r="Y5" s="276"/>
      <c r="Z5" s="276"/>
      <c r="AB5" s="278" t="str">
        <f t="shared" ref="AB5" si="2">B5&amp;C5</f>
        <v/>
      </c>
    </row>
    <row r="6" spans="1:34" s="277" customFormat="1" ht="19.95"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19.95"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19.95"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19.95"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19.95"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19.95"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19.95"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19.95"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19.95"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19.95"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19.95"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19.95"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19.95"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399999999999999">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399999999999999">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399999999999999">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399999999999999">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399999999999999">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399999999999999">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399999999999999">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399999999999999">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399999999999999">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399999999999999">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399999999999999">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399999999999999">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399999999999999">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399999999999999">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399999999999999">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399999999999999">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399999999999999">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399999999999999">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399999999999999">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399999999999999">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399999999999999">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399999999999999">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399999999999999">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399999999999999">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399999999999999">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399999999999999">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399999999999999">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399999999999999">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399999999999999">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399999999999999">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399999999999999">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399999999999999">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399999999999999">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399999999999999">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399999999999999">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399999999999999">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399999999999999">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399999999999999">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399999999999999">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399999999999999">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399999999999999">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399999999999999">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399999999999999">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399999999999999">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399999999999999">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399999999999999">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399999999999999">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399999999999999">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399999999999999">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399999999999999">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399999999999999">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399999999999999">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399999999999999">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399999999999999">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399999999999999">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399999999999999">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399999999999999">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399999999999999">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399999999999999">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399999999999999">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399999999999999">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399999999999999">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399999999999999">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399999999999999">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399999999999999">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399999999999999">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399999999999999">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399999999999999">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399999999999999">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399999999999999">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399999999999999">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399999999999999">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399999999999999">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399999999999999">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399999999999999">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399999999999999">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399999999999999">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399999999999999">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399999999999999">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399999999999999">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399999999999999">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399999999999999">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399999999999999">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399999999999999">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399999999999999">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399999999999999">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399999999999999">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399999999999999">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399999999999999">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399999999999999">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399999999999999">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399999999999999">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399999999999999">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399999999999999">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399999999999999">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399999999999999">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399999999999999">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399999999999999">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399999999999999">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399999999999999">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399999999999999">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399999999999999">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399999999999999">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399999999999999">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399999999999999">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399999999999999">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399999999999999">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399999999999999">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399999999999999">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399999999999999">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399999999999999">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399999999999999">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399999999999999">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399999999999999">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399999999999999">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399999999999999">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399999999999999">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399999999999999">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399999999999999">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399999999999999">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399999999999999">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399999999999999">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399999999999999">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399999999999999">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399999999999999">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399999999999999">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399999999999999">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399999999999999">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399999999999999">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399999999999999">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399999999999999">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399999999999999">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399999999999999">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399999999999999">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399999999999999">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399999999999999">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399999999999999">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399999999999999">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399999999999999">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399999999999999">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399999999999999">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399999999999999">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399999999999999">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399999999999999">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399999999999999">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399999999999999">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399999999999999">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399999999999999">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399999999999999">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399999999999999">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399999999999999">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399999999999999">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399999999999999">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399999999999999">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399999999999999">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399999999999999">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399999999999999">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399999999999999">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399999999999999">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399999999999999">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399999999999999">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399999999999999">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399999999999999">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399999999999999">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399999999999999">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399999999999999">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399999999999999">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399999999999999">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399999999999999">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399999999999999">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399999999999999">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399999999999999">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399999999999999">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399999999999999">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399999999999999">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399999999999999">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399999999999999">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399999999999999">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399999999999999">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399999999999999">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399999999999999">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399999999999999">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399999999999999">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399999999999999">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399999999999999">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399999999999999">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399999999999999">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399999999999999">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399999999999999">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399999999999999">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399999999999999">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399999999999999">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399999999999999">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399999999999999">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399999999999999">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399999999999999">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399999999999999">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399999999999999">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399999999999999">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399999999999999">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399999999999999">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399999999999999">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399999999999999">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399999999999999">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399999999999999">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399999999999999">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399999999999999">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399999999999999">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399999999999999">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399999999999999">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399999999999999">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399999999999999">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399999999999999">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399999999999999">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399999999999999">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399999999999999">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399999999999999">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399999999999999">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399999999999999">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399999999999999">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399999999999999">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399999999999999">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399999999999999">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399999999999999">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399999999999999">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399999999999999">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399999999999999">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399999999999999">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399999999999999">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399999999999999">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399999999999999">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399999999999999">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399999999999999">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399999999999999">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399999999999999">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399999999999999">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399999999999999">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399999999999999">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399999999999999">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399999999999999">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399999999999999">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399999999999999">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399999999999999">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399999999999999">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399999999999999">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399999999999999">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399999999999999">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399999999999999">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399999999999999">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399999999999999">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399999999999999">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399999999999999">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399999999999999">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399999999999999">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399999999999999">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399999999999999">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399999999999999">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399999999999999">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399999999999999">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399999999999999">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399999999999999">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399999999999999">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399999999999999">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399999999999999">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399999999999999">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399999999999999">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399999999999999">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399999999999999">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399999999999999">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399999999999999">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399999999999999">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399999999999999">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399999999999999">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399999999999999">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399999999999999">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399999999999999">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399999999999999">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399999999999999">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399999999999999">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399999999999999">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399999999999999">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399999999999999">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399999999999999">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399999999999999">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399999999999999">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399999999999999">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399999999999999">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399999999999999">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399999999999999">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399999999999999">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399999999999999">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399999999999999">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399999999999999">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399999999999999">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399999999999999">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399999999999999">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399999999999999">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399999999999999">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399999999999999">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399999999999999">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399999999999999">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399999999999999">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399999999999999">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399999999999999">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399999999999999">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399999999999999">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399999999999999">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399999999999999">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399999999999999">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399999999999999">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399999999999999">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399999999999999">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399999999999999">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399999999999999">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399999999999999">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399999999999999">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399999999999999">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399999999999999">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399999999999999">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399999999999999">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399999999999999">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399999999999999">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399999999999999">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399999999999999">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399999999999999">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399999999999999">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399999999999999">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399999999999999">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399999999999999">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399999999999999">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399999999999999">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399999999999999">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399999999999999">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399999999999999">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399999999999999">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399999999999999">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399999999999999">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399999999999999">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399999999999999">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399999999999999">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399999999999999">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399999999999999">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399999999999999">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399999999999999">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399999999999999">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399999999999999">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399999999999999">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399999999999999">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399999999999999">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399999999999999">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399999999999999">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399999999999999">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399999999999999">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399999999999999">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399999999999999">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399999999999999">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399999999999999">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399999999999999">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399999999999999">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399999999999999">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399999999999999">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399999999999999">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399999999999999">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399999999999999">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399999999999999">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399999999999999">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399999999999999">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399999999999999">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399999999999999">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399999999999999">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399999999999999">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399999999999999">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399999999999999">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399999999999999">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399999999999999">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399999999999999">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399999999999999">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399999999999999">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399999999999999">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399999999999999">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399999999999999">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399999999999999">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399999999999999">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399999999999999">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399999999999999">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399999999999999">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399999999999999">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399999999999999">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399999999999999">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399999999999999">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399999999999999">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399999999999999">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399999999999999">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399999999999999">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399999999999999">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399999999999999">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399999999999999">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399999999999999">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399999999999999">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399999999999999">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399999999999999">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399999999999999">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399999999999999">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399999999999999">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399999999999999">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399999999999999">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399999999999999">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399999999999999">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399999999999999">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399999999999999">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399999999999999">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399999999999999">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399999999999999">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399999999999999">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399999999999999">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399999999999999">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399999999999999">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399999999999999">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399999999999999">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399999999999999">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399999999999999">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399999999999999">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399999999999999">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399999999999999">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399999999999999">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399999999999999">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399999999999999">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399999999999999">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399999999999999">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399999999999999">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399999999999999">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399999999999999">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399999999999999">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399999999999999">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399999999999999">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399999999999999">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399999999999999">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399999999999999">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399999999999999">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399999999999999">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399999999999999">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399999999999999">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399999999999999">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399999999999999">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399999999999999">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399999999999999">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399999999999999">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399999999999999">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399999999999999">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399999999999999">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399999999999999">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399999999999999">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399999999999999">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399999999999999">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399999999999999">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399999999999999">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399999999999999">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399999999999999">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399999999999999">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399999999999999">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399999999999999">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399999999999999">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399999999999999">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399999999999999">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399999999999999">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399999999999999">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399999999999999">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399999999999999">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399999999999999">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399999999999999">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399999999999999">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399999999999999">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399999999999999">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399999999999999">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399999999999999">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399999999999999">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399999999999999">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399999999999999">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399999999999999">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399999999999999">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399999999999999">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399999999999999">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399999999999999">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399999999999999">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399999999999999">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399999999999999">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399999999999999">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399999999999999">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399999999999999">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399999999999999">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399999999999999">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399999999999999">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399999999999999">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399999999999999">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399999999999999">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399999999999999">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399999999999999">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399999999999999">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399999999999999">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399999999999999">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399999999999999">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399999999999999">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399999999999999">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399999999999999">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399999999999999">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399999999999999">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399999999999999">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399999999999999">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399999999999999">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399999999999999">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399999999999999">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399999999999999">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399999999999999">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399999999999999">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399999999999999">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399999999999999">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399999999999999">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399999999999999">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399999999999999">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399999999999999">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399999999999999">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399999999999999">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399999999999999">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399999999999999">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399999999999999">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399999999999999">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399999999999999">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399999999999999">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399999999999999">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399999999999999">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399999999999999">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399999999999999">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399999999999999">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399999999999999">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399999999999999">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399999999999999">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399999999999999">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399999999999999">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399999999999999">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399999999999999">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399999999999999">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399999999999999">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399999999999999">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399999999999999">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399999999999999">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399999999999999">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399999999999999">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399999999999999">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399999999999999">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399999999999999">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399999999999999">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399999999999999">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399999999999999">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399999999999999">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399999999999999">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399999999999999">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399999999999999">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399999999999999">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399999999999999">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399999999999999">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399999999999999">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399999999999999">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399999999999999">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399999999999999">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399999999999999">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399999999999999">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399999999999999">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399999999999999">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399999999999999">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399999999999999">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399999999999999">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399999999999999">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399999999999999">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399999999999999">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399999999999999">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399999999999999">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399999999999999">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399999999999999">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399999999999999">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399999999999999">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399999999999999">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399999999999999">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399999999999999">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399999999999999">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399999999999999">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399999999999999">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399999999999999">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399999999999999">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399999999999999">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399999999999999">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399999999999999">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399999999999999">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399999999999999">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399999999999999">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399999999999999">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399999999999999">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399999999999999">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399999999999999">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399999999999999">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399999999999999">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399999999999999">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399999999999999">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399999999999999">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399999999999999">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399999999999999">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399999999999999">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399999999999999">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399999999999999">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399999999999999">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399999999999999">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399999999999999">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399999999999999">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399999999999999">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399999999999999">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399999999999999">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399999999999999">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399999999999999">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399999999999999">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399999999999999">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399999999999999">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399999999999999">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399999999999999">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399999999999999">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399999999999999">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399999999999999">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399999999999999">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399999999999999">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399999999999999">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399999999999999">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399999999999999">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399999999999999">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399999999999999">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399999999999999">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399999999999999">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399999999999999">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399999999999999">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399999999999999">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399999999999999">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399999999999999">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399999999999999">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399999999999999">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399999999999999">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399999999999999">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399999999999999">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399999999999999">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399999999999999">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399999999999999">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399999999999999">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399999999999999">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399999999999999">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399999999999999">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399999999999999">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399999999999999">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399999999999999">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399999999999999">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399999999999999">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399999999999999">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399999999999999">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399999999999999">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399999999999999">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399999999999999">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399999999999999">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399999999999999">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399999999999999">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399999999999999">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399999999999999">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399999999999999">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399999999999999">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399999999999999">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399999999999999">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399999999999999">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399999999999999">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399999999999999">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399999999999999">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399999999999999">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399999999999999">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399999999999999">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399999999999999">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399999999999999">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399999999999999">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399999999999999">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399999999999999">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399999999999999">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399999999999999">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399999999999999">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399999999999999">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399999999999999">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399999999999999">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399999999999999">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399999999999999">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399999999999999">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399999999999999">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399999999999999">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399999999999999">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399999999999999">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399999999999999">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399999999999999">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399999999999999">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399999999999999">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399999999999999">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399999999999999">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399999999999999">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399999999999999">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399999999999999">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399999999999999">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399999999999999">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399999999999999">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399999999999999">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399999999999999">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399999999999999">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399999999999999">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399999999999999">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399999999999999">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399999999999999">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399999999999999">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399999999999999">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399999999999999">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399999999999999">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399999999999999">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399999999999999">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399999999999999">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399999999999999">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399999999999999">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399999999999999">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399999999999999">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399999999999999">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399999999999999">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399999999999999">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399999999999999">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399999999999999">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399999999999999">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399999999999999">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399999999999999">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399999999999999">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399999999999999">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399999999999999">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399999999999999">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399999999999999">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399999999999999">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399999999999999">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399999999999999">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399999999999999">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399999999999999">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399999999999999">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399999999999999">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399999999999999">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399999999999999">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399999999999999">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399999999999999">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399999999999999">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399999999999999">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399999999999999">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399999999999999">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399999999999999">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399999999999999">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399999999999999">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399999999999999">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399999999999999">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399999999999999">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399999999999999">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399999999999999">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399999999999999">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399999999999999">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399999999999999">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399999999999999">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399999999999999">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399999999999999">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399999999999999">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399999999999999">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399999999999999">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399999999999999">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399999999999999">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399999999999999">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399999999999999">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399999999999999">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399999999999999">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399999999999999">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399999999999999">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399999999999999">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399999999999999">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399999999999999">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399999999999999">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399999999999999">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399999999999999">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399999999999999">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399999999999999">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399999999999999">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399999999999999">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399999999999999">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399999999999999">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399999999999999">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399999999999999">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399999999999999">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399999999999999">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399999999999999">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399999999999999">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399999999999999">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399999999999999">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399999999999999">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399999999999999">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399999999999999">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399999999999999">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399999999999999">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399999999999999">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399999999999999">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399999999999999">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399999999999999">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399999999999999">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399999999999999">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399999999999999">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399999999999999">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399999999999999">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399999999999999">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399999999999999">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399999999999999">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399999999999999">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399999999999999">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399999999999999">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399999999999999">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399999999999999">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399999999999999">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399999999999999">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399999999999999">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399999999999999">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399999999999999">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399999999999999">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399999999999999">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399999999999999">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399999999999999">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399999999999999">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399999999999999">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399999999999999">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399999999999999">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399999999999999">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399999999999999">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399999999999999">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399999999999999">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399999999999999">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399999999999999">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399999999999999">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399999999999999">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399999999999999">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399999999999999">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399999999999999">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399999999999999">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399999999999999">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399999999999999">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399999999999999">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399999999999999">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399999999999999">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399999999999999">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399999999999999">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399999999999999">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399999999999999">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399999999999999">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399999999999999">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399999999999999">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399999999999999">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399999999999999">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399999999999999">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399999999999999">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399999999999999">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399999999999999">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399999999999999">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399999999999999">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399999999999999">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399999999999999">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399999999999999">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399999999999999">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399999999999999">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399999999999999">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399999999999999">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399999999999999">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399999999999999">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399999999999999">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399999999999999">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399999999999999">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399999999999999">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399999999999999">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399999999999999">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399999999999999">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399999999999999">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399999999999999">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399999999999999">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399999999999999">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399999999999999">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399999999999999">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399999999999999">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399999999999999">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399999999999999">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399999999999999">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399999999999999">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399999999999999">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399999999999999">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399999999999999">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399999999999999">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399999999999999">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399999999999999">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399999999999999">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399999999999999">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399999999999999">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399999999999999">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399999999999999">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399999999999999">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399999999999999">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399999999999999">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399999999999999">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399999999999999">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399999999999999">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399999999999999">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399999999999999">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399999999999999">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399999999999999">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399999999999999">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399999999999999">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399999999999999">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399999999999999">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399999999999999">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399999999999999">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399999999999999">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399999999999999">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399999999999999">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399999999999999">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399999999999999">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399999999999999">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399999999999999">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399999999999999">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399999999999999">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399999999999999">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399999999999999">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399999999999999">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399999999999999">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399999999999999">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399999999999999">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399999999999999">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399999999999999">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399999999999999">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399999999999999">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399999999999999">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399999999999999">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399999999999999">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399999999999999">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399999999999999">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399999999999999">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399999999999999">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399999999999999">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399999999999999">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399999999999999">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399999999999999">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399999999999999">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399999999999999">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399999999999999">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399999999999999">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399999999999999">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399999999999999">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399999999999999">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399999999999999">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399999999999999">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399999999999999">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399999999999999">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399999999999999">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399999999999999">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399999999999999">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399999999999999">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399999999999999">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399999999999999">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399999999999999">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399999999999999">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399999999999999">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399999999999999">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399999999999999">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399999999999999">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399999999999999">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399999999999999">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399999999999999">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399999999999999">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399999999999999">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399999999999999">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399999999999999">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399999999999999">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399999999999999">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399999999999999">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399999999999999">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399999999999999">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399999999999999">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399999999999999">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399999999999999">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399999999999999">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399999999999999">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399999999999999">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399999999999999">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399999999999999">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399999999999999">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399999999999999">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399999999999999">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399999999999999">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399999999999999">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399999999999999">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399999999999999">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399999999999999">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399999999999999">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399999999999999">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399999999999999">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399999999999999">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399999999999999">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399999999999999">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399999999999999">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399999999999999">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399999999999999">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399999999999999">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399999999999999">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399999999999999">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399999999999999">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399999999999999">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399999999999999">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399999999999999">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399999999999999">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399999999999999">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399999999999999">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399999999999999">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399999999999999">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399999999999999">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399999999999999">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399999999999999">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399999999999999">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399999999999999">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399999999999999">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399999999999999">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399999999999999">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399999999999999">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399999999999999">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399999999999999">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399999999999999">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399999999999999">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399999999999999">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399999999999999">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399999999999999">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399999999999999">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399999999999999">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399999999999999">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399999999999999">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399999999999999">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399999999999999">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399999999999999">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399999999999999">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399999999999999">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399999999999999">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399999999999999">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399999999999999">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399999999999999">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399999999999999">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399999999999999">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399999999999999">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399999999999999">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399999999999999">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399999999999999">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399999999999999">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399999999999999">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399999999999999">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399999999999999">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399999999999999">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399999999999999">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399999999999999">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399999999999999">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399999999999999">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399999999999999">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399999999999999">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399999999999999">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399999999999999">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399999999999999">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399999999999999">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399999999999999">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399999999999999">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399999999999999">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399999999999999">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399999999999999">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399999999999999">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399999999999999">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399999999999999">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399999999999999">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399999999999999">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399999999999999">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399999999999999">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399999999999999">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399999999999999">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399999999999999">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399999999999999">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399999999999999">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399999999999999">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399999999999999">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399999999999999">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399999999999999">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399999999999999">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399999999999999">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399999999999999">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399999999999999">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399999999999999">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399999999999999">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399999999999999">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399999999999999">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399999999999999">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399999999999999">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399999999999999">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399999999999999">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399999999999999">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399999999999999">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399999999999999">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399999999999999">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399999999999999">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399999999999999">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399999999999999">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399999999999999">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399999999999999">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399999999999999">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399999999999999">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399999999999999">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399999999999999">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399999999999999">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399999999999999">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399999999999999">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399999999999999">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399999999999999">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399999999999999">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399999999999999">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399999999999999">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399999999999999">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399999999999999">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399999999999999">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399999999999999">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399999999999999">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399999999999999">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399999999999999">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399999999999999">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399999999999999">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399999999999999">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399999999999999">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399999999999999">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399999999999999">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399999999999999">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399999999999999">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399999999999999">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399999999999999">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399999999999999">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399999999999999">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399999999999999">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399999999999999">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399999999999999">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399999999999999">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399999999999999">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399999999999999">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399999999999999">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399999999999999">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399999999999999">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399999999999999">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399999999999999">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399999999999999">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399999999999999">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399999999999999">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399999999999999">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399999999999999">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399999999999999">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399999999999999">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399999999999999">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399999999999999">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399999999999999">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399999999999999">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399999999999999">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399999999999999">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399999999999999">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399999999999999">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399999999999999">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399999999999999">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399999999999999">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399999999999999">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399999999999999">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399999999999999">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399999999999999">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399999999999999">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399999999999999">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399999999999999">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399999999999999">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399999999999999">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399999999999999">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399999999999999">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399999999999999">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399999999999999">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399999999999999">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399999999999999">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399999999999999">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399999999999999">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399999999999999">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399999999999999">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399999999999999">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399999999999999">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399999999999999">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399999999999999">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399999999999999">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399999999999999">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399999999999999">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399999999999999">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399999999999999">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399999999999999">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399999999999999">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399999999999999">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399999999999999">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399999999999999">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399999999999999">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399999999999999">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399999999999999">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399999999999999">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399999999999999">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399999999999999">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399999999999999">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399999999999999">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399999999999999">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399999999999999">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399999999999999">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399999999999999">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399999999999999">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399999999999999">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399999999999999">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399999999999999">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399999999999999">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399999999999999">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399999999999999">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399999999999999">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399999999999999">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399999999999999">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399999999999999">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399999999999999">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399999999999999">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399999999999999">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399999999999999">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399999999999999">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399999999999999">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399999999999999">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399999999999999">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399999999999999">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399999999999999">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399999999999999">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399999999999999">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399999999999999">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399999999999999">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399999999999999">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399999999999999">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399999999999999">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399999999999999">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399999999999999">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399999999999999">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399999999999999">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399999999999999">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399999999999999">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399999999999999">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399999999999999">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399999999999999">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399999999999999">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399999999999999">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399999999999999">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399999999999999">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399999999999999">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399999999999999">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399999999999999">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399999999999999">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399999999999999">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399999999999999">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399999999999999">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399999999999999">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399999999999999">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399999999999999">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399999999999999">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399999999999999">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399999999999999">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399999999999999">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399999999999999">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399999999999999">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399999999999999">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399999999999999">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399999999999999">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399999999999999">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399999999999999">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399999999999999">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399999999999999">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399999999999999">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399999999999999">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399999999999999">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399999999999999">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399999999999999">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399999999999999">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399999999999999">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399999999999999">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399999999999999">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399999999999999">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399999999999999">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399999999999999">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399999999999999">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399999999999999">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399999999999999">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399999999999999">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399999999999999">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399999999999999">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399999999999999">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399999999999999">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399999999999999">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399999999999999">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399999999999999">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399999999999999">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399999999999999">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399999999999999">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399999999999999">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399999999999999">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399999999999999">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399999999999999">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399999999999999">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399999999999999">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399999999999999">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399999999999999">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399999999999999">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399999999999999">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399999999999999">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399999999999999">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399999999999999">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399999999999999">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399999999999999">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399999999999999">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399999999999999">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399999999999999">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399999999999999">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399999999999999">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399999999999999">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399999999999999">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399999999999999">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399999999999999">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399999999999999">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399999999999999">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399999999999999">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399999999999999">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399999999999999">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399999999999999">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399999999999999">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399999999999999">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399999999999999">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399999999999999">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399999999999999">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399999999999999">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399999999999999">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399999999999999">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399999999999999">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399999999999999">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399999999999999">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399999999999999">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399999999999999">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399999999999999">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399999999999999">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399999999999999">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399999999999999">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399999999999999">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399999999999999">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399999999999999">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399999999999999">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399999999999999">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399999999999999">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399999999999999">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399999999999999">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399999999999999">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399999999999999">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399999999999999">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399999999999999">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399999999999999">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399999999999999">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399999999999999">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399999999999999">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399999999999999">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399999999999999">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399999999999999">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399999999999999">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399999999999999">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399999999999999">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399999999999999">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399999999999999">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399999999999999">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399999999999999">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399999999999999">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399999999999999">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399999999999999">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399999999999999">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399999999999999">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399999999999999">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399999999999999">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399999999999999">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399999999999999">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399999999999999">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399999999999999">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399999999999999">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399999999999999">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399999999999999">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399999999999999">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399999999999999">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399999999999999">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399999999999999">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399999999999999">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399999999999999">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399999999999999">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399999999999999">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399999999999999">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399999999999999">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399999999999999">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399999999999999">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399999999999999">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399999999999999">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399999999999999">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399999999999999">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399999999999999">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399999999999999">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399999999999999">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399999999999999">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399999999999999">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399999999999999">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399999999999999">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399999999999999">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399999999999999">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399999999999999">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399999999999999">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399999999999999">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399999999999999">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399999999999999">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399999999999999">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399999999999999">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399999999999999">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399999999999999">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399999999999999">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399999999999999">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399999999999999">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399999999999999">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399999999999999">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399999999999999">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399999999999999">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399999999999999">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399999999999999">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399999999999999">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399999999999999">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399999999999999">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399999999999999">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399999999999999">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399999999999999">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399999999999999">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399999999999999">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399999999999999">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399999999999999">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399999999999999">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399999999999999">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399999999999999">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399999999999999">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399999999999999">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399999999999999">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399999999999999">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399999999999999">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399999999999999">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399999999999999">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399999999999999">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399999999999999">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399999999999999">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399999999999999">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399999999999999">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399999999999999">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399999999999999">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399999999999999">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399999999999999">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399999999999999">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399999999999999">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399999999999999">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399999999999999">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399999999999999">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399999999999999">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399999999999999">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399999999999999">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399999999999999">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399999999999999">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399999999999999">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399999999999999">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399999999999999">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399999999999999">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399999999999999">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399999999999999">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399999999999999">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399999999999999">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399999999999999">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399999999999999">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399999999999999">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399999999999999">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399999999999999">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399999999999999">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399999999999999">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399999999999999">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399999999999999">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399999999999999">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399999999999999">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399999999999999">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399999999999999">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399999999999999">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399999999999999">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399999999999999">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399999999999999">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399999999999999">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399999999999999">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399999999999999">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399999999999999">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399999999999999">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399999999999999">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399999999999999">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399999999999999">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399999999999999">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399999999999999">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399999999999999">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399999999999999">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399999999999999">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399999999999999">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399999999999999">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399999999999999">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399999999999999">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399999999999999">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399999999999999">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399999999999999">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399999999999999">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399999999999999">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399999999999999">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399999999999999">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399999999999999">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399999999999999">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399999999999999">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399999999999999">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399999999999999">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399999999999999">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399999999999999">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399999999999999">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399999999999999">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399999999999999">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399999999999999">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399999999999999">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399999999999999">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399999999999999">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399999999999999">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399999999999999">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399999999999999">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399999999999999">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399999999999999">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399999999999999">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399999999999999">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399999999999999">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399999999999999">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399999999999999">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399999999999999">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399999999999999">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399999999999999">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399999999999999">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399999999999999">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399999999999999">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399999999999999">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399999999999999">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399999999999999">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399999999999999">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399999999999999">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399999999999999">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399999999999999">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399999999999999">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399999999999999">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399999999999999">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399999999999999">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399999999999999">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399999999999999">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399999999999999">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399999999999999">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399999999999999">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399999999999999">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399999999999999">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399999999999999">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399999999999999">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399999999999999">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399999999999999">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399999999999999">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399999999999999">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399999999999999">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399999999999999">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399999999999999">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399999999999999">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399999999999999">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399999999999999">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399999999999999">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399999999999999">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399999999999999">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399999999999999">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399999999999999">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399999999999999">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399999999999999">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399999999999999">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399999999999999">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399999999999999">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399999999999999">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399999999999999">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399999999999999">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399999999999999">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399999999999999">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399999999999999">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399999999999999">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399999999999999">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399999999999999">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399999999999999">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399999999999999">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399999999999999">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399999999999999">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399999999999999">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399999999999999">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399999999999999">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399999999999999">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399999999999999">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399999999999999">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399999999999999">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399999999999999">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399999999999999">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399999999999999">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399999999999999">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399999999999999">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399999999999999">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399999999999999">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399999999999999">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399999999999999">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399999999999999">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399999999999999">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399999999999999">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399999999999999">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399999999999999">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399999999999999">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399999999999999">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399999999999999">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399999999999999">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399999999999999">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399999999999999">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399999999999999">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399999999999999">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399999999999999">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399999999999999">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399999999999999">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399999999999999">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399999999999999">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399999999999999">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399999999999999">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399999999999999">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399999999999999">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399999999999999">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399999999999999">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399999999999999">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399999999999999">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399999999999999">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399999999999999">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399999999999999">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399999999999999">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399999999999999">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399999999999999">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399999999999999">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399999999999999">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399999999999999">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399999999999999">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399999999999999">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399999999999999">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399999999999999">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399999999999999">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399999999999999">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399999999999999">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399999999999999">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399999999999999">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399999999999999">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399999999999999">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399999999999999">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399999999999999">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399999999999999">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399999999999999">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399999999999999">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399999999999999">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399999999999999">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399999999999999">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399999999999999">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399999999999999">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399999999999999">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399999999999999">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399999999999999">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399999999999999">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399999999999999">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399999999999999">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399999999999999">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399999999999999">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399999999999999">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399999999999999">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399999999999999">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399999999999999">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399999999999999">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399999999999999">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399999999999999">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399999999999999">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399999999999999">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399999999999999">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399999999999999">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399999999999999">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399999999999999">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399999999999999">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399999999999999">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399999999999999">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399999999999999">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399999999999999">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399999999999999">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399999999999999">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399999999999999">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399999999999999">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399999999999999">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399999999999999">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399999999999999">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399999999999999">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399999999999999">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399999999999999">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399999999999999">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399999999999999">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399999999999999">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399999999999999">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399999999999999">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399999999999999">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399999999999999">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399999999999999">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399999999999999">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399999999999999">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399999999999999">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399999999999999">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399999999999999">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399999999999999">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399999999999999">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399999999999999">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399999999999999">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399999999999999">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399999999999999">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399999999999999">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399999999999999">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399999999999999">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399999999999999">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399999999999999">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399999999999999">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399999999999999">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399999999999999">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399999999999999">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399999999999999">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399999999999999">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399999999999999">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399999999999999">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399999999999999">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399999999999999">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399999999999999">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399999999999999">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399999999999999">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399999999999999">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399999999999999">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399999999999999">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399999999999999">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399999999999999">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399999999999999">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399999999999999">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399999999999999">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399999999999999">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399999999999999">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399999999999999">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399999999999999">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399999999999999">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399999999999999">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399999999999999">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399999999999999">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399999999999999">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399999999999999">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399999999999999">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399999999999999">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399999999999999">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399999999999999">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399999999999999">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399999999999999">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399999999999999">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399999999999999">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399999999999999">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399999999999999">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399999999999999">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399999999999999">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399999999999999">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399999999999999">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399999999999999">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399999999999999">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399999999999999">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399999999999999">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399999999999999">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399999999999999">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399999999999999">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399999999999999">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399999999999999">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399999999999999">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399999999999999">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399999999999999">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399999999999999">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399999999999999">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399999999999999">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399999999999999">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399999999999999">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399999999999999">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399999999999999">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399999999999999">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399999999999999">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399999999999999">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399999999999999">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399999999999999">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399999999999999">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399999999999999">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399999999999999">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399999999999999">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399999999999999">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399999999999999">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399999999999999">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399999999999999">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399999999999999">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399999999999999">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399999999999999">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399999999999999">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399999999999999">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399999999999999">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399999999999999">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399999999999999">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399999999999999">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399999999999999">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399999999999999">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399999999999999">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399999999999999">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399999999999999">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399999999999999">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399999999999999">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399999999999999">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399999999999999">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399999999999999">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399999999999999">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399999999999999">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399999999999999">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399999999999999">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399999999999999">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399999999999999">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399999999999999">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399999999999999">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399999999999999">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399999999999999">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399999999999999">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399999999999999">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399999999999999">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399999999999999">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399999999999999">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399999999999999">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399999999999999">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399999999999999">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399999999999999">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399999999999999">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399999999999999">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399999999999999">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399999999999999">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399999999999999">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399999999999999">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399999999999999">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399999999999999">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399999999999999">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399999999999999">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399999999999999">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399999999999999">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399999999999999">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399999999999999">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399999999999999">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399999999999999">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399999999999999">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399999999999999">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399999999999999">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399999999999999">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399999999999999">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399999999999999">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399999999999999">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399999999999999">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399999999999999">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399999999999999">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399999999999999">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399999999999999">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399999999999999">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399999999999999">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399999999999999">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399999999999999">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399999999999999">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399999999999999">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399999999999999">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399999999999999">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399999999999999">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399999999999999">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399999999999999">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399999999999999">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399999999999999">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399999999999999">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399999999999999">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399999999999999">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399999999999999">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399999999999999">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399999999999999">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399999999999999">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399999999999999">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399999999999999">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399999999999999">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399999999999999">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399999999999999">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399999999999999">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399999999999999">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399999999999999">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399999999999999">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399999999999999">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399999999999999">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399999999999999">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399999999999999">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399999999999999">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399999999999999">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399999999999999">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399999999999999">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399999999999999">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399999999999999">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399999999999999">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399999999999999">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399999999999999">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399999999999999">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399999999999999">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399999999999999">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399999999999999">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399999999999999">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399999999999999">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399999999999999">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399999999999999">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399999999999999">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399999999999999">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399999999999999">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399999999999999">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399999999999999">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399999999999999">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399999999999999">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399999999999999">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399999999999999">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399999999999999">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399999999999999">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399999999999999">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399999999999999">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399999999999999">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399999999999999">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399999999999999">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399999999999999">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399999999999999">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399999999999999">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399999999999999">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399999999999999">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399999999999999">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399999999999999">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399999999999999">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399999999999999">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399999999999999">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399999999999999">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399999999999999">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399999999999999">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399999999999999">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399999999999999">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399999999999999">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399999999999999">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399999999999999">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399999999999999">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399999999999999">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399999999999999">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399999999999999">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399999999999999">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399999999999999">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399999999999999">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399999999999999">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399999999999999">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399999999999999">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399999999999999">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399999999999999">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399999999999999">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399999999999999">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399999999999999">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399999999999999">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399999999999999">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399999999999999">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399999999999999">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399999999999999">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399999999999999">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399999999999999">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399999999999999">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399999999999999">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399999999999999">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399999999999999">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399999999999999">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399999999999999">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399999999999999">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399999999999999">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399999999999999">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399999999999999">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399999999999999">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399999999999999">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399999999999999">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399999999999999">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399999999999999">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399999999999999">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399999999999999">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399999999999999">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399999999999999">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399999999999999">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399999999999999">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399999999999999">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399999999999999">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399999999999999">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399999999999999">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399999999999999">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399999999999999">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399999999999999">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399999999999999">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399999999999999">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399999999999999">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399999999999999">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399999999999999">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399999999999999">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399999999999999">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399999999999999">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399999999999999">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399999999999999">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399999999999999">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399999999999999">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399999999999999">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399999999999999">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399999999999999">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399999999999999">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399999999999999">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399999999999999">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399999999999999">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399999999999999">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399999999999999">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399999999999999">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399999999999999">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399999999999999">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399999999999999">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399999999999999">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399999999999999">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399999999999999">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399999999999999">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399999999999999">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399999999999999">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399999999999999">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399999999999999">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399999999999999">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399999999999999">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399999999999999">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399999999999999">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399999999999999">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399999999999999">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399999999999999">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399999999999999">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399999999999999">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399999999999999">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399999999999999">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399999999999999">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399999999999999">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399999999999999">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399999999999999">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399999999999999">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399999999999999">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399999999999999">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399999999999999">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399999999999999">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399999999999999">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399999999999999">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399999999999999">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399999999999999">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399999999999999">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399999999999999">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399999999999999">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399999999999999">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399999999999999">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399999999999999">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399999999999999">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399999999999999">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399999999999999">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399999999999999">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399999999999999">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399999999999999">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399999999999999">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399999999999999">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399999999999999">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399999999999999">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399999999999999">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399999999999999">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399999999999999">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399999999999999">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399999999999999">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399999999999999">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399999999999999">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399999999999999">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399999999999999">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399999999999999">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399999999999999">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399999999999999">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399999999999999">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399999999999999">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399999999999999">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399999999999999">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399999999999999">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399999999999999">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399999999999999">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399999999999999">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399999999999999">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399999999999999">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399999999999999">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399999999999999">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399999999999999">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399999999999999">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399999999999999">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399999999999999">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399999999999999">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399999999999999">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399999999999999">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399999999999999">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399999999999999">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399999999999999">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399999999999999">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399999999999999">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399999999999999">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399999999999999">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399999999999999">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399999999999999">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399999999999999">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399999999999999">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399999999999999">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399999999999999">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399999999999999">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399999999999999">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399999999999999">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399999999999999">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399999999999999">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399999999999999">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399999999999999">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399999999999999">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399999999999999">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399999999999999">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399999999999999">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399999999999999">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399999999999999">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399999999999999">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399999999999999">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399999999999999">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399999999999999">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399999999999999">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399999999999999">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399999999999999">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399999999999999">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399999999999999">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399999999999999">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399999999999999">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399999999999999">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399999999999999">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399999999999999">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399999999999999">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399999999999999">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399999999999999">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399999999999999">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399999999999999">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399999999999999">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399999999999999">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399999999999999">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399999999999999">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399999999999999">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399999999999999">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399999999999999">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399999999999999">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399999999999999">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399999999999999">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399999999999999">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399999999999999">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399999999999999">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399999999999999">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399999999999999">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399999999999999">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399999999999999">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399999999999999">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399999999999999">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399999999999999">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399999999999999">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399999999999999">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399999999999999">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399999999999999">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399999999999999">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399999999999999">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399999999999999">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399999999999999">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399999999999999">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399999999999999">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399999999999999">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399999999999999">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399999999999999">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399999999999999">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399999999999999">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399999999999999">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399999999999999">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399999999999999">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399999999999999">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399999999999999">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399999999999999">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399999999999999">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399999999999999">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399999999999999">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399999999999999">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399999999999999">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399999999999999">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399999999999999">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399999999999999">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399999999999999">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399999999999999">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399999999999999">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399999999999999">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399999999999999">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399999999999999">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399999999999999">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399999999999999">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399999999999999">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399999999999999">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399999999999999">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399999999999999">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399999999999999">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399999999999999">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399999999999999">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399999999999999">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399999999999999">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399999999999999">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399999999999999">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399999999999999">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399999999999999">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399999999999999">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399999999999999">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399999999999999">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399999999999999">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399999999999999">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399999999999999">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399999999999999">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399999999999999">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399999999999999">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399999999999999">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399999999999999">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399999999999999">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399999999999999">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399999999999999">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399999999999999">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399999999999999">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399999999999999">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399999999999999">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399999999999999">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399999999999999">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399999999999999">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399999999999999">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399999999999999">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399999999999999">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399999999999999">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399999999999999">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399999999999999">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399999999999999">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399999999999999">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399999999999999">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399999999999999">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399999999999999">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399999999999999">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399999999999999">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399999999999999">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399999999999999">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399999999999999">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399999999999999">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399999999999999">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399999999999999">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399999999999999">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399999999999999">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399999999999999">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399999999999999">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399999999999999">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399999999999999">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399999999999999">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399999999999999">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399999999999999">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399999999999999">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399999999999999">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399999999999999">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399999999999999">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399999999999999">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399999999999999">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399999999999999">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399999999999999">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399999999999999">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399999999999999">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399999999999999">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399999999999999">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399999999999999">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399999999999999">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399999999999999">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399999999999999">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399999999999999">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399999999999999">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399999999999999">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399999999999999">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399999999999999">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399999999999999">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399999999999999">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399999999999999">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399999999999999">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399999999999999">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399999999999999">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399999999999999">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399999999999999">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399999999999999">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399999999999999">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399999999999999">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399999999999999">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399999999999999">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399999999999999">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399999999999999">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399999999999999">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399999999999999">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399999999999999">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399999999999999">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399999999999999">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399999999999999">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399999999999999">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399999999999999">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399999999999999">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399999999999999">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399999999999999">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399999999999999">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399999999999999">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399999999999999">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399999999999999">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399999999999999">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399999999999999">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399999999999999">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399999999999999">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399999999999999">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399999999999999">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399999999999999">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399999999999999">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399999999999999">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399999999999999">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399999999999999">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399999999999999">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399999999999999">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399999999999999">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399999999999999">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399999999999999">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399999999999999">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399999999999999">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399999999999999">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399999999999999">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399999999999999">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399999999999999">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399999999999999">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399999999999999">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399999999999999">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399999999999999">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399999999999999">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399999999999999">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399999999999999">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399999999999999">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399999999999999">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399999999999999">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399999999999999">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399999999999999">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399999999999999">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399999999999999">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399999999999999">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399999999999999">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399999999999999">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399999999999999">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399999999999999">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399999999999999">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399999999999999">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399999999999999">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399999999999999">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399999999999999">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399999999999999">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399999999999999">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399999999999999">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399999999999999">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399999999999999">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399999999999999">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399999999999999">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399999999999999">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399999999999999">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399999999999999">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399999999999999">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399999999999999">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399999999999999">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399999999999999">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399999999999999">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399999999999999">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399999999999999">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399999999999999">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399999999999999">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399999999999999">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399999999999999">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399999999999999">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399999999999999">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399999999999999">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399999999999999">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399999999999999">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399999999999999">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399999999999999">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399999999999999">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399999999999999">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399999999999999">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399999999999999">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399999999999999">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399999999999999">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399999999999999">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399999999999999">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399999999999999">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399999999999999">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399999999999999">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399999999999999">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399999999999999">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399999999999999">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399999999999999">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399999999999999">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399999999999999">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399999999999999">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399999999999999">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399999999999999">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399999999999999">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399999999999999">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399999999999999">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399999999999999">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399999999999999">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399999999999999">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399999999999999">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399999999999999">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399999999999999">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399999999999999">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399999999999999">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399999999999999">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399999999999999">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399999999999999">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399999999999999">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399999999999999">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399999999999999">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399999999999999">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399999999999999">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399999999999999">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399999999999999">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399999999999999">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399999999999999">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399999999999999">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399999999999999">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399999999999999">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399999999999999">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399999999999999">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399999999999999">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399999999999999">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399999999999999">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399999999999999">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399999999999999">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399999999999999">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399999999999999">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399999999999999">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399999999999999">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399999999999999">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399999999999999">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399999999999999">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399999999999999">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399999999999999">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399999999999999">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399999999999999">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399999999999999">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399999999999999">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399999999999999">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399999999999999">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399999999999999">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399999999999999">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399999999999999">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399999999999999">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399999999999999">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399999999999999">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399999999999999">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8"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2" thickTop="1">
      <c r="U2506" s="282"/>
      <c r="V2506" s="282"/>
      <c r="W2506" s="282"/>
      <c r="X2506" s="282"/>
      <c r="Y2506" s="282"/>
      <c r="Z2506" s="282"/>
    </row>
    <row r="2507" spans="1:28">
      <c r="U2507" s="282"/>
      <c r="V2507" s="282"/>
      <c r="W2507" s="282"/>
      <c r="X2507" s="282"/>
      <c r="Y2507" s="282"/>
      <c r="Z2507" s="282"/>
    </row>
    <row r="2508" spans="1:28" ht="13.2"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95" activePane="bottomRight" state="frozen"/>
      <selection activeCell="A4" sqref="A4"/>
      <selection pane="topRight" activeCell="A4" sqref="A4"/>
      <selection pane="bottomLeft" activeCell="A4" sqref="A4"/>
      <selection pane="bottomRight" activeCell="A2" sqref="A2"/>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hidden="1" customWidth="1"/>
    <col min="6" max="6" width="13.6328125" style="22" hidden="1" customWidth="1"/>
    <col min="7" max="7" width="13.36328125" style="22" hidden="1" customWidth="1"/>
    <col min="8" max="8" width="9" style="22" hidden="1" customWidth="1"/>
    <col min="9" max="9" width="9" style="178" hidden="1" customWidth="1"/>
    <col min="10" max="10" width="48.81640625" style="22" hidden="1" customWidth="1"/>
    <col min="11" max="11" width="9" style="22" hidden="1" customWidth="1"/>
    <col min="12" max="14" width="8.81640625" style="22" hidden="1" customWidth="1"/>
    <col min="15" max="18" width="8.81640625" style="22" customWidth="1"/>
    <col min="19" max="16384" width="8.81640625" style="22"/>
  </cols>
  <sheetData>
    <row r="1" spans="1:10" ht="32.4">
      <c r="A1" s="441" t="str">
        <f ca="1">OFFSET(L!$C$1,MATCH("Checker"&amp;ADDRESS(ROW(),COLUMN(),4),L!$A:$A,0)-1,SL,,)</f>
        <v>To ensure all required fields have been populated before submitting to your customers review form for any line items highlighted in red</v>
      </c>
      <c r="B1" s="441"/>
      <c r="C1" s="441"/>
      <c r="D1" s="146" t="str">
        <f ca="1">OFFSET(L!$C$1,MATCH("Checker"&amp;ADDRESS(ROW(),COLUMN(),4),L!$A:$A,0)-1,SL,,)</f>
        <v>Required fields remaining to be completed</v>
      </c>
      <c r="E1" s="84" t="s">
        <v>827</v>
      </c>
    </row>
    <row r="2" spans="1:10" ht="16.2">
      <c r="A2" s="77" t="s">
        <v>921</v>
      </c>
      <c r="B2" s="78" t="str">
        <f>IF(F65=1,"Click here to return to Smelter List","")</f>
        <v/>
      </c>
      <c r="C2" s="150" t="str">
        <f>IF(F65=1,"Click here to return to Product List","")</f>
        <v/>
      </c>
      <c r="D2" s="183"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Allied Metal Company</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Mark A. Simpson</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msimpson@alliedmetalcompany.com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312.225.2800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Mark A. Simpson</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msimpson@alliedmetalcompany.com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44076</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831</v>
      </c>
      <c r="F13" s="106"/>
      <c r="G13" s="24"/>
      <c r="H13" s="83">
        <f t="shared" si="3"/>
        <v>0</v>
      </c>
    </row>
    <row r="14" spans="1:10" ht="26.4">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0.4">
      <c r="A18" s="102" t="str">
        <f ca="1">Declaration!B31</f>
        <v>2) Does any 3TG remain in the product(s)?</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828</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828</v>
      </c>
      <c r="F25" s="107">
        <f>IF(OR(B15="No",B20="No"),0,1)</f>
        <v>0</v>
      </c>
      <c r="G25" s="81">
        <f>IF(B25=0,1,0)</f>
        <v>1</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 xml:space="preserve">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30" t="str">
        <f>IF(H35=1,"Click here to answer question 5 for Tin","")</f>
        <v/>
      </c>
      <c r="E35" s="84" t="s">
        <v>1330</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 xml:space="preserve">6) What percentage of relevant suppliers have provided a response to your supply chain survey? </v>
      </c>
      <c r="B38" s="105"/>
      <c r="C38" s="105"/>
      <c r="D38" s="109"/>
      <c r="E38" s="84" t="s">
        <v>828</v>
      </c>
      <c r="F38" s="106"/>
      <c r="G38" s="24"/>
      <c r="H38" s="24"/>
    </row>
    <row r="39" spans="1:10" ht="26.4">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 xml:space="preserve">Tin  </v>
      </c>
      <c r="B40" s="299">
        <f>IF(AND($B$15="Yes",$B$20="Yes"),Declaration!D57,0)</f>
        <v>0</v>
      </c>
      <c r="C40" s="102" t="str">
        <f ca="1">IF(H40=1,J40,I40)</f>
        <v>Complete</v>
      </c>
      <c r="D40" s="331" t="str">
        <f>IF(H40=1,"Click here to answer question 6 for Tin","")</f>
        <v/>
      </c>
      <c r="E40" s="84" t="s">
        <v>827</v>
      </c>
      <c r="F40" s="107">
        <f>F25</f>
        <v>0</v>
      </c>
      <c r="G40" s="81">
        <f>IF(B40=0,1,0)</f>
        <v>1</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 xml:space="preserve">7) Have you identified all of the smelters supplying the 3TG to your supply chain? </v>
      </c>
      <c r="B43" s="105"/>
      <c r="C43" s="105"/>
      <c r="D43" s="109"/>
      <c r="E43" s="84" t="s">
        <v>829</v>
      </c>
      <c r="F43" s="106"/>
      <c r="G43" s="24"/>
      <c r="H43" s="24"/>
    </row>
    <row r="44" spans="1:10" ht="51.6">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 xml:space="preserve">Tin  </v>
      </c>
      <c r="B45" s="102">
        <f>IF(AND($B$15="Yes",$B$20="Yes"),Declaration!D63,0)</f>
        <v>0</v>
      </c>
      <c r="C45" s="102" t="str">
        <f ca="1">IF(H45=1,J45,I45)</f>
        <v>Complete</v>
      </c>
      <c r="D45" s="330" t="str">
        <f>IF(H45=1,"Click here to answer question 7 for Tin","")</f>
        <v/>
      </c>
      <c r="E45" s="84" t="s">
        <v>1326</v>
      </c>
      <c r="F45" s="107">
        <f>F25</f>
        <v>0</v>
      </c>
      <c r="G45" s="81">
        <f>IF(B45=0,1,0)</f>
        <v>1</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 xml:space="preserve">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31" t="str">
        <f>IF(H50=1,"Click here to answer question 8 for Tin","")</f>
        <v/>
      </c>
      <c r="E50" s="84" t="s">
        <v>828</v>
      </c>
      <c r="F50" s="107">
        <f>F25</f>
        <v>0</v>
      </c>
      <c r="G50" s="81">
        <f>IF(B50=0,1,0)</f>
        <v>1</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451</v>
      </c>
      <c r="F53" s="106"/>
      <c r="G53" s="106"/>
      <c r="H53" s="106"/>
    </row>
    <row r="54" spans="1:10" ht="39">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1330</v>
      </c>
      <c r="F54" s="107">
        <f>IF(SUM(F$24:F$27)=0,0,1)</f>
        <v>0</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Yes</v>
      </c>
      <c r="C55" s="102" t="str">
        <f t="shared" ca="1" si="10"/>
        <v>Complete</v>
      </c>
      <c r="D55" s="108" t="str">
        <f>IF(H55=1,"Click here to answer question (B)","")</f>
        <v/>
      </c>
      <c r="E55" s="84" t="s">
        <v>1330</v>
      </c>
      <c r="F55" s="107">
        <f t="shared" ref="F55" si="12">F$54</f>
        <v>0</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6</v>
      </c>
      <c r="B56" s="102" t="str">
        <f>Declaration!G77</f>
        <v>http://alliedmetalcompany.com/material-declarations-cm-reach-rohs/</v>
      </c>
      <c r="C56" s="102" t="str">
        <f t="shared" ca="1" si="10"/>
        <v>Complete</v>
      </c>
      <c r="D56" s="108" t="str">
        <f>IF(H56=1,"Click here to specify URL for question (B)","")</f>
        <v/>
      </c>
      <c r="E56" s="84"/>
      <c r="F56" s="107">
        <f>IF(AND(F55=1,B55="Yes"),1,0)</f>
        <v>0</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v>
      </c>
      <c r="B57" s="102" t="str">
        <f>Declaration!D79</f>
        <v>Yes</v>
      </c>
      <c r="C57" s="102" t="str">
        <f t="shared" ca="1" si="10"/>
        <v>Complete</v>
      </c>
      <c r="D57" s="108" t="str">
        <f>IF(H57=1,"Click here to answer question (C)","")</f>
        <v/>
      </c>
      <c r="E57" s="84" t="s">
        <v>1330</v>
      </c>
      <c r="F57" s="107">
        <f>F$54</f>
        <v>0</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Yes</v>
      </c>
      <c r="C58" s="102" t="str">
        <f t="shared" ca="1" si="10"/>
        <v>Complete</v>
      </c>
      <c r="D58" s="108" t="str">
        <f>IF(H58=1,"Click here to answer question (D)","")</f>
        <v/>
      </c>
      <c r="E58" s="84" t="s">
        <v>1330</v>
      </c>
      <c r="F58" s="107">
        <f>F$54</f>
        <v>0</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Yes, in conformance with IPC1755 (e.g., CMRT)</v>
      </c>
      <c r="C59" s="102" t="str">
        <f t="shared" ca="1" si="10"/>
        <v>Complete</v>
      </c>
      <c r="D59" s="108" t="str">
        <f>IF(H59=1,"Click here to answer question (E)","")</f>
        <v/>
      </c>
      <c r="E59" s="84" t="s">
        <v>1330</v>
      </c>
      <c r="F59" s="107">
        <f>F$54</f>
        <v>0</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Yes</v>
      </c>
      <c r="C60" s="102" t="str">
        <f t="shared" ca="1" si="10"/>
        <v>Complete</v>
      </c>
      <c r="D60" s="108" t="str">
        <f>IF(H60=1,"Click here to answer question (F)","")</f>
        <v/>
      </c>
      <c r="E60" s="84" t="s">
        <v>1330</v>
      </c>
      <c r="F60" s="107">
        <f>F$54</f>
        <v>0</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9"/>
    </row>
    <row r="62" spans="1:10" ht="39">
      <c r="A62" s="102" t="str">
        <f ca="1">Declaration!B87</f>
        <v>G. Does your review process include corrective action management?</v>
      </c>
      <c r="B62" s="102" t="str">
        <f>Declaration!D87</f>
        <v>Yes</v>
      </c>
      <c r="C62" s="102" t="str">
        <f t="shared" ref="C62:C68" ca="1" si="13">IF(H62=1,J62,I62)</f>
        <v>Complete</v>
      </c>
      <c r="D62" s="108" t="str">
        <f>IF(H62=1,"Click here to answer question (G)","")</f>
        <v/>
      </c>
      <c r="E62" s="84" t="s">
        <v>1330</v>
      </c>
      <c r="F62" s="107">
        <f>F$54</f>
        <v>0</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1330</v>
      </c>
      <c r="F63" s="107">
        <f>F$54</f>
        <v>0</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0</v>
      </c>
      <c r="G66" s="81">
        <f>IF(AND(COUNTIF(SmelterIdetifiedForMetal,"Tin")&gt;0,COUNTIF('Smelter List'!AB$5:AB$2504,"Tin?*")&gt;0),0,1)</f>
        <v>1</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2">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2"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6" ht="35.1" customHeight="1" thickTop="1">
      <c r="A1" s="443" t="str">
        <f ca="1">OFFSET(L!$C$1,MATCH("Product List"&amp;ADDRESS(ROW(),COLUMN(),4),L!$A:$A,0)-1,SL,,)</f>
        <v>Completion required only if reporting level "Product (or List of Products)" selected on the 'Declaration' worksheet.</v>
      </c>
      <c r="B1" s="444"/>
      <c r="C1" s="444"/>
      <c r="D1" s="444"/>
      <c r="E1" s="145"/>
    </row>
    <row r="2" spans="1:6" ht="13.2">
      <c r="A2" s="29"/>
      <c r="B2" s="147"/>
      <c r="C2" s="147"/>
      <c r="D2"/>
      <c r="E2" s="30"/>
    </row>
    <row r="3" spans="1:6" ht="13.2">
      <c r="A3" s="29"/>
      <c r="B3" s="147"/>
      <c r="C3" s="147"/>
      <c r="D3" s="147"/>
      <c r="E3" s="30"/>
    </row>
    <row r="4" spans="1:6" ht="15.75" customHeight="1">
      <c r="A4" s="29"/>
      <c r="B4" s="442" t="s">
        <v>921</v>
      </c>
      <c r="C4" s="442"/>
      <c r="D4" s="442"/>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45" t="str">
        <f ca="1">OFFSET(L!$C$1,MATCH("General"&amp;"Cpy",L!$A:$A,0)-1,SL,,)</f>
        <v>© 2020 Responsible Minerals Initiative. All rights reserved.</v>
      </c>
      <c r="C1001" s="445"/>
      <c r="D1001" s="445"/>
      <c r="E1001" s="31"/>
    </row>
    <row r="1002" spans="1:6" ht="13.2"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1640625" defaultRowHeight="12.6"/>
  <cols>
    <col min="1" max="1" width="9.1796875" style="227" bestFit="1" customWidth="1"/>
    <col min="2" max="2" width="42.81640625" style="227" customWidth="1"/>
    <col min="3" max="3" width="63.81640625" style="227" customWidth="1"/>
    <col min="4" max="4" width="25.6328125" style="227" customWidth="1"/>
    <col min="5" max="5" width="12.6328125" style="227" customWidth="1"/>
    <col min="6" max="6" width="12.6328125" style="228" customWidth="1"/>
    <col min="7" max="7" width="15.36328125" style="227" customWidth="1"/>
    <col min="8" max="8" width="23.81640625" style="227" customWidth="1"/>
    <col min="9" max="9" width="28.1796875" style="227" customWidth="1"/>
    <col min="10" max="10" width="48.26953125" style="227" hidden="1" customWidth="1"/>
    <col min="11" max="11" width="49.7265625" style="227" hidden="1" customWidth="1"/>
    <col min="12" max="13" width="49.7265625" style="227" customWidth="1"/>
    <col min="14" max="16384" width="8.81640625" style="227"/>
  </cols>
  <sheetData>
    <row r="1" spans="1:16" ht="168.6" customHeight="1">
      <c r="A1" s="44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6"/>
      <c r="C1" s="446"/>
      <c r="D1" s="446"/>
      <c r="E1" s="446"/>
      <c r="F1" s="446"/>
      <c r="G1" s="446"/>
    </row>
    <row r="2" spans="1:16">
      <c r="A2" s="447"/>
      <c r="B2" s="447"/>
      <c r="C2" s="447"/>
      <c r="D2" s="447"/>
      <c r="E2" s="447"/>
      <c r="F2" s="447"/>
      <c r="G2" s="447"/>
      <c r="H2" s="447"/>
      <c r="I2" s="447"/>
    </row>
    <row r="3" spans="1:16">
      <c r="A3" s="447"/>
      <c r="B3" s="447"/>
      <c r="C3" s="447"/>
      <c r="D3" s="447"/>
      <c r="E3" s="447"/>
      <c r="F3" s="447"/>
      <c r="G3" s="447"/>
      <c r="H3" s="447"/>
      <c r="I3" s="447"/>
    </row>
    <row r="4" spans="1:16" s="230" customFormat="1" ht="50.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2"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1640625" defaultRowHeight="13.8"/>
  <cols>
    <col min="1" max="1" width="14.6328125" style="293" customWidth="1"/>
    <col min="2" max="2" width="14" style="293" customWidth="1"/>
    <col min="3" max="3" width="6.1796875" style="293" customWidth="1"/>
    <col min="4" max="4" width="56.26953125" style="293" customWidth="1"/>
    <col min="5" max="5" width="53.7265625" style="288" customWidth="1"/>
    <col min="6" max="6" width="54.1796875" style="293" customWidth="1"/>
    <col min="7" max="7" width="68.26953125" style="293" customWidth="1"/>
    <col min="8" max="8" width="49.26953125" style="293" customWidth="1"/>
    <col min="9" max="9" width="51.6328125" style="293" customWidth="1"/>
    <col min="10" max="10" width="50.26953125" style="293" customWidth="1"/>
    <col min="11" max="11" width="51.81640625" style="255" customWidth="1"/>
    <col min="12" max="12" width="66.81640625" style="326" customWidth="1"/>
    <col min="13" max="13" width="46.1796875" style="187" customWidth="1"/>
    <col min="14" max="15" width="8.81640625" style="187" customWidth="1"/>
    <col min="16" max="16384" width="8.8164062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2.8">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45">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1.4">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7.6">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6">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41.4">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1.4">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1.4">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1.4">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69">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27.6">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82.8">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27.6">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69">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1.4">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1.4">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38.6">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13.4">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6">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41.4">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360">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14.2">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43.6">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15.2">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15.2">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1.4">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57.6">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96.6">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10.4">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00.8">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358.8">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01.6">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187.2">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86.4">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1.4">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7.6">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86.4">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69">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5.2">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38">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2.8">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82.8">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10.4">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69">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3.2">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3.2">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0.4">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17.39999999999998">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82.8">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79.4">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193.2">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15.2">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41.4">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193.2">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27.6">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03.60000000000002">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51.80000000000001">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38">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289.8">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96.6">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41.4">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69">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7.6">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1.4">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7.6">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7.6">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7.6">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7.6">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7.6">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7.6">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5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7.6">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7.6">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7.6">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7.6">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2.8">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76.4">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24.2">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51.80000000000001">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69">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38">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10.4">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38">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6">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20.8">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10.4">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17.39999999999998">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07">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7.6">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69">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7.6">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51.8000000000000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96.6">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276">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48.4">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7.6">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38">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82.8">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07">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193.2">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179.4">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7.6">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7.6">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41.4">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43.2">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5.2">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7.6">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7.6">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7.6">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7.6">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27.6">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28.8">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14.4">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0.4">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7.799999999999997">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37.799999999999997">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28.8">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28.8">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7.799999999999997">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7.6">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69">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0.4">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7.799999999999997">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28.8">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1.4">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27.6">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28.8">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14.4">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14.4">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14.4">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14.4">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14.4">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14.4">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14.4">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14.4">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14.4">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7.6">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7.6">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7.6">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7.6">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7.6">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7.6">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7.6">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1.4">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1.4">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5.2">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27.6">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1.4">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6">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5.2">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7.6">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27.6">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7.6">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7.6">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27.6">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7.6">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1.4">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41.4">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27.6">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1.4">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1.4">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27.6">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1.4">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5.2">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5.2">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5.2">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5.2">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69">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69">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69">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69">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55.2">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55.2">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55.2">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55.2">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55.2">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55.2">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55.2">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55.2">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41.4">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5.2">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5.2">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5.2">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1.4">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1.4">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1.4">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1.4">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5.2">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55.2">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5.2">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82.8">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41.4">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41.4">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1.4">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41.4">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41.4">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41.4">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7.6">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2.8">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7.6">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7.6">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69">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7.6">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7.6">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69">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marka_000</cp:lastModifiedBy>
  <cp:lastPrinted>2015-04-21T20:47:43Z</cp:lastPrinted>
  <dcterms:created xsi:type="dcterms:W3CDTF">2010-06-21T21:00:23Z</dcterms:created>
  <dcterms:modified xsi:type="dcterms:W3CDTF">2020-09-02T14:49:50Z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